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" yWindow="65428" windowWidth="5148" windowHeight="5280" activeTab="3"/>
  </bookViews>
  <sheets>
    <sheet name="INSTRUCTIONS" sheetId="1" r:id="rId1"/>
    <sheet name="DATA SHEET" sheetId="2" r:id="rId2"/>
    <sheet name="CALCULATION SHEET" sheetId="3" r:id="rId3"/>
    <sheet name="FORM 10 &amp; ANEEXURES" sheetId="4" r:id="rId4"/>
  </sheets>
  <externalReferences>
    <externalReference r:id="rId7"/>
  </externalReferences>
  <definedNames>
    <definedName name="_xlnm.Print_Area" localSheetId="2">'CALCULATION SHEET'!$A$1:$L$53</definedName>
    <definedName name="_xlnm.Print_Area" localSheetId="3">'FORM 10 &amp; ANEEXURES'!$A$1:$H$65</definedName>
  </definedNames>
  <calcPr fullCalcOnLoad="1"/>
</workbook>
</file>

<file path=xl/comments2.xml><?xml version="1.0" encoding="utf-8"?>
<comments xmlns="http://schemas.openxmlformats.org/spreadsheetml/2006/main">
  <authors>
    <author>SAKHU-RIYA</author>
  </authors>
  <commentList>
    <comment ref="E64" authorId="0">
      <text>
        <r>
          <rPr>
            <b/>
            <sz val="9"/>
            <rFont val="Tahoma"/>
            <family val="2"/>
          </rPr>
          <t>SAKHU-RIYA:</t>
        </r>
        <r>
          <rPr>
            <sz val="9"/>
            <rFont val="Tahoma"/>
            <family val="2"/>
          </rPr>
          <t xml:space="preserve">
OLD B.P.*NO. OF DAYS OF OLD B.P./NEW B.P. AFTER ACP.</t>
        </r>
      </text>
    </comment>
    <comment ref="G64" authorId="0">
      <text>
        <r>
          <rPr>
            <b/>
            <sz val="9"/>
            <rFont val="Tahoma"/>
            <family val="2"/>
          </rPr>
          <t>SAKHU-RIYA:</t>
        </r>
        <r>
          <rPr>
            <sz val="9"/>
            <rFont val="Tahoma"/>
            <family val="2"/>
          </rPr>
          <t xml:space="preserve">
OLD B.P.*NO. OF DAYS OF OLD B.P./NEW B.P. AFTER ACP.</t>
        </r>
      </text>
    </comment>
    <comment ref="E65" authorId="0">
      <text>
        <r>
          <rPr>
            <b/>
            <sz val="9"/>
            <rFont val="Tahoma"/>
            <family val="2"/>
          </rPr>
          <t>SAKHU-RIYA:</t>
        </r>
        <r>
          <rPr>
            <sz val="9"/>
            <rFont val="Tahoma"/>
            <family val="2"/>
          </rPr>
          <t xml:space="preserve">
NEW B.P.*NO. OF DAYS OF NEW B.P. OF THAT MONTH/TOTAL DAYS IN THAT MONTH</t>
        </r>
      </text>
    </comment>
    <comment ref="G65" authorId="0">
      <text>
        <r>
          <rPr>
            <b/>
            <sz val="9"/>
            <rFont val="Tahoma"/>
            <family val="2"/>
          </rPr>
          <t>SAKHU-RIYA:</t>
        </r>
        <r>
          <rPr>
            <sz val="9"/>
            <rFont val="Tahoma"/>
            <family val="2"/>
          </rPr>
          <t xml:space="preserve">
OLD B.P.*NO. OF DAYS OF OLD B.P./NEW B.P. AFTER ACP.</t>
        </r>
      </text>
    </comment>
  </commentList>
</comments>
</file>

<file path=xl/sharedStrings.xml><?xml version="1.0" encoding="utf-8"?>
<sst xmlns="http://schemas.openxmlformats.org/spreadsheetml/2006/main" count="286" uniqueCount="220">
  <si>
    <t>NAME OF EMPLOYEE</t>
  </si>
  <si>
    <t xml:space="preserve">DESIGNATION </t>
  </si>
  <si>
    <t>PLACE OF POSTING</t>
  </si>
  <si>
    <t>PAN</t>
  </si>
  <si>
    <t>CATEGORY</t>
  </si>
  <si>
    <t>FINANCIAL YEAR</t>
  </si>
  <si>
    <t>TOTAL INCOME UNDER THE HEAD SALARIES EXCLUDING AREAR</t>
  </si>
  <si>
    <t>AREAR OF SALARY</t>
  </si>
  <si>
    <t>GROSS SALARY</t>
  </si>
  <si>
    <t>DEDUCTION UNDER CHAPTER VI-A</t>
  </si>
  <si>
    <t>REBATE ON SAVINGS U/S 80C</t>
  </si>
  <si>
    <t>OTHER INCOME</t>
  </si>
  <si>
    <t>INTEREST</t>
  </si>
  <si>
    <t>INCOME WITH SPECIAL TAX BRACKET</t>
  </si>
  <si>
    <t>REBATE U/S 10 (HRA ETC.)</t>
  </si>
  <si>
    <t>INCOME EXEMPTED FROM TAXATION</t>
  </si>
  <si>
    <t>TOTAL TAXABLE INCOME</t>
  </si>
  <si>
    <t>NORMAL RATES</t>
  </si>
  <si>
    <t>EDUCATION CESS</t>
  </si>
  <si>
    <t>SURCHARGE</t>
  </si>
  <si>
    <t>INCOME TAX ON ACCRUEL BASIS</t>
  </si>
  <si>
    <t xml:space="preserve">SPECIAL RATES </t>
  </si>
  <si>
    <t>2011-12</t>
  </si>
  <si>
    <t>2010-11</t>
  </si>
  <si>
    <t>2008-09</t>
  </si>
  <si>
    <t>2009-10</t>
  </si>
  <si>
    <t>2007-08</t>
  </si>
  <si>
    <t>2006-07</t>
  </si>
  <si>
    <t>2005-06</t>
  </si>
  <si>
    <t>INCOME TAX ON RECIEPT BASIS</t>
  </si>
  <si>
    <t>AREAR TO BE PAID IN FY 2011-12 (%)</t>
  </si>
  <si>
    <t>TOTAL INCOME TAX ON RECIEPT BASIS (B)</t>
  </si>
  <si>
    <t>TOTAL INCOME TAX ON ACCRUEL BASIS (A)</t>
  </si>
  <si>
    <r>
      <rPr>
        <b/>
        <sz val="11"/>
        <rFont val="Calibri"/>
        <family val="2"/>
      </rPr>
      <t>FOR CORRESPONDANCE MAIL TO</t>
    </r>
    <r>
      <rPr>
        <b/>
        <u val="single"/>
        <sz val="11"/>
        <color indexed="12"/>
        <rFont val="Calibri"/>
        <family val="2"/>
      </rPr>
      <t xml:space="preserve"> employeesforum1@gmail.com</t>
    </r>
  </si>
  <si>
    <t>DIVIDEND &amp; OTHER EXEMPTED INCOME</t>
  </si>
  <si>
    <t>MALE</t>
  </si>
  <si>
    <t>FEMALE</t>
  </si>
  <si>
    <t>SENIOR CITIZEN</t>
  </si>
  <si>
    <t>VERY SENIOR CITYZEN</t>
  </si>
  <si>
    <t xml:space="preserve"> </t>
  </si>
  <si>
    <t>TOTAL REBATES &amp; RELIEFS</t>
  </si>
  <si>
    <t>TOTAL TAXABLE INCOME FOR NORMAL RATE OF TAX</t>
  </si>
  <si>
    <t>TOTAL TAXABLE INCOME FOR NOMAL TAX RATE</t>
  </si>
  <si>
    <t>TOTAL EXEMPTIONS,REBATES &amp; RELIEFS</t>
  </si>
  <si>
    <t xml:space="preserve">TOTAL INCOME TAX </t>
  </si>
  <si>
    <r>
      <rPr>
        <b/>
        <sz val="12"/>
        <color indexed="8"/>
        <rFont val="Calibri"/>
        <family val="2"/>
      </rPr>
      <t>TAX RELIEF U/S 89(1)</t>
    </r>
    <r>
      <rPr>
        <b/>
        <sz val="11"/>
        <color indexed="8"/>
        <rFont val="Calibri"/>
        <family val="2"/>
      </rPr>
      <t xml:space="preserve">     </t>
    </r>
    <r>
      <rPr>
        <b/>
        <sz val="16"/>
        <color indexed="8"/>
        <rFont val="Calibri"/>
        <family val="2"/>
      </rPr>
      <t xml:space="preserve">  </t>
    </r>
  </si>
  <si>
    <t>[B-A]</t>
  </si>
  <si>
    <t>FILL LIGHT SHADED CELLS ONLY</t>
  </si>
  <si>
    <t>CALCULATION OF INCOME TAX RELIEF ON AREAR RECEIVED IN FY 2011-12  U/S 89(1)</t>
  </si>
  <si>
    <t>NOTE  &gt;&gt; IN CASE OF ANY ACP,PLEASE INSERT NEW COLUMN IN THAT MONTH &amp; CALCULATE AS PER EXAMPLE IN GREEN COLORED BOX.</t>
  </si>
  <si>
    <t xml:space="preserve">DUE DRAWN STATEMENT OF 43 MONTHS AREARS OF 5TH PUNJAB PAY COMMISSION </t>
  </si>
  <si>
    <t>DA RATE ON NEW SCALES</t>
  </si>
  <si>
    <t>DA (%)</t>
  </si>
  <si>
    <t>EFFECTIVE DATE</t>
  </si>
  <si>
    <t>01.01.06</t>
  </si>
  <si>
    <t>DATE OF JOINING SERVICE</t>
  </si>
  <si>
    <t>01.07.06</t>
  </si>
  <si>
    <t>GPF ACCOUNT NO.</t>
  </si>
  <si>
    <t>01.01.07</t>
  </si>
  <si>
    <t>ACP DRAWN IF ANY</t>
  </si>
  <si>
    <t>01.07.07</t>
  </si>
  <si>
    <t>S.NO.</t>
  </si>
  <si>
    <t>DATE OF ACP</t>
  </si>
  <si>
    <t>OLD SCALE</t>
  </si>
  <si>
    <t>NEW SCALE</t>
  </si>
  <si>
    <t xml:space="preserve">FILL LIGHT SHADED CELLS ONLY </t>
  </si>
  <si>
    <t>01.01.08</t>
  </si>
  <si>
    <t>i</t>
  </si>
  <si>
    <t>01.07.08</t>
  </si>
  <si>
    <t>ii</t>
  </si>
  <si>
    <t>01.01.09</t>
  </si>
  <si>
    <t>iii</t>
  </si>
  <si>
    <t>THIS CALCULATOR IS WITH ACP</t>
  </si>
  <si>
    <t>iv</t>
  </si>
  <si>
    <t>S.NO</t>
  </si>
  <si>
    <t>MONTH</t>
  </si>
  <si>
    <t>DUE</t>
  </si>
  <si>
    <t>DRAWN</t>
  </si>
  <si>
    <t>DIFFERENCE</t>
  </si>
  <si>
    <t>MONTHS</t>
  </si>
  <si>
    <t>NET AMOUNT OF AREAR</t>
  </si>
  <si>
    <t>BP</t>
  </si>
  <si>
    <t>DA</t>
  </si>
  <si>
    <t>DP</t>
  </si>
  <si>
    <t>IR</t>
  </si>
  <si>
    <t>TOTAL BP</t>
  </si>
  <si>
    <t>TOTAL</t>
  </si>
  <si>
    <t>01.02.06</t>
  </si>
  <si>
    <t>01.03.06</t>
  </si>
  <si>
    <t>01.04.06</t>
  </si>
  <si>
    <t>01.05.06</t>
  </si>
  <si>
    <t>01.06.06</t>
  </si>
  <si>
    <t>01.08.06</t>
  </si>
  <si>
    <t>01.09.06</t>
  </si>
  <si>
    <t>01.10.06</t>
  </si>
  <si>
    <t>01.11.06</t>
  </si>
  <si>
    <t>01.12.06</t>
  </si>
  <si>
    <t>01.02.07</t>
  </si>
  <si>
    <t>01.03.07</t>
  </si>
  <si>
    <t>01.04.07</t>
  </si>
  <si>
    <t>01.05.07</t>
  </si>
  <si>
    <t>01.06.07</t>
  </si>
  <si>
    <t>01.08.07</t>
  </si>
  <si>
    <t>01.09.07</t>
  </si>
  <si>
    <t>01.10.07</t>
  </si>
  <si>
    <t>01.11.07</t>
  </si>
  <si>
    <t>01.12.07</t>
  </si>
  <si>
    <t>01.02.08</t>
  </si>
  <si>
    <t>01.03.08</t>
  </si>
  <si>
    <t>01.04.08</t>
  </si>
  <si>
    <t>01.05.08</t>
  </si>
  <si>
    <t>01.06.08</t>
  </si>
  <si>
    <t>01.08.08</t>
  </si>
  <si>
    <t>01.09.08</t>
  </si>
  <si>
    <t>01.10.08</t>
  </si>
  <si>
    <t>01.11.08</t>
  </si>
  <si>
    <t>01.12.08</t>
  </si>
  <si>
    <t>01.02.09</t>
  </si>
  <si>
    <t>01.03.09</t>
  </si>
  <si>
    <t>01.04.09</t>
  </si>
  <si>
    <t>01.05.09</t>
  </si>
  <si>
    <t>01.06.09</t>
  </si>
  <si>
    <t>01.07.09</t>
  </si>
  <si>
    <t>TOTAL AREAR</t>
  </si>
  <si>
    <t>EXAMPLE OF BIFURCATION OF AREAR DURING THE MONTH IN WHICH ACP IS RECEIVED(SEE WHITE BOXES BELOW).PLEASE CALCULATE MANUALLY ALSO.</t>
  </si>
  <si>
    <t>01.11.07 TO 10.11.07</t>
  </si>
  <si>
    <t>TOTAL SALARY</t>
  </si>
  <si>
    <t>RAVI KANT</t>
  </si>
  <si>
    <t>DESIGNATION</t>
  </si>
  <si>
    <t>INTEREST INCOME</t>
  </si>
  <si>
    <t>INCOME WITH SPECIAL TAX RATE</t>
  </si>
  <si>
    <t>INCOME TAX ON INCOME WITH SPECIAL TAX RATE</t>
  </si>
  <si>
    <t>REBATE ON SAVING U/S 80 C</t>
  </si>
  <si>
    <t>DEDUCTIONS UNDER VI-A(HBA INTEREST,80-D,80-L etc.)</t>
  </si>
  <si>
    <t>REBATE U/S 10 (HRA etc.)</t>
  </si>
  <si>
    <t>YEARWISE AREAR BREAK UP</t>
  </si>
  <si>
    <t>AREAR</t>
  </si>
  <si>
    <r>
      <t xml:space="preserve">01.11.07 </t>
    </r>
    <r>
      <rPr>
        <b/>
        <i/>
        <sz val="8"/>
        <color indexed="8"/>
        <rFont val="Raavi"/>
        <family val="0"/>
      </rPr>
      <t>TO</t>
    </r>
    <r>
      <rPr>
        <b/>
        <i/>
        <sz val="9"/>
        <color indexed="8"/>
        <rFont val="Raavi"/>
        <family val="2"/>
      </rPr>
      <t xml:space="preserve"> 10.11.07</t>
    </r>
  </si>
  <si>
    <t>FILL ONLY LIGHT SHADED CELLS IN DATA SHEET PREFERABLY.</t>
  </si>
  <si>
    <t>IF U USE DATA SHEET,YEAR WISE BREAKUP WILL BE AUTOMATED.</t>
  </si>
  <si>
    <t>ALWAYS CALCULATE MANUALLY ALSO.</t>
  </si>
  <si>
    <t>TAKE PRINT OUT &amp; PRESENT.</t>
  </si>
  <si>
    <t>IN CASE OF DOUBT/MISTAKE,CONTACT AT MY MAIL ADDRESS.</t>
  </si>
  <si>
    <t>THIS DUE DRAWN STATEMENT IS COMPILED BY  employeesforum1@gmail.com</t>
  </si>
  <si>
    <r>
      <rPr>
        <b/>
        <sz val="11"/>
        <color indexed="12"/>
        <rFont val="Raavi"/>
        <family val="0"/>
      </rPr>
      <t>THIS CALCULATION SHEET IS COMPILED BY</t>
    </r>
    <r>
      <rPr>
        <u val="single"/>
        <sz val="11"/>
        <color indexed="12"/>
        <rFont val="Raavi"/>
        <family val="2"/>
      </rPr>
      <t xml:space="preserve">  employeesforum1@gmail.com</t>
    </r>
  </si>
  <si>
    <t>SELECT CATEGORY IN CALCULATION SHEET TO GET CORRECT TAX CALCULATION.CALCULATION SHEET IS ALSO NOT PROTECTED.IF U DONOT WANT TO USE DATA SHEET,EVEN CALCULATION SHEET CAN BE USED DIRECTLY.THEN FILL LIGHT SHADED CELLS IN CALCULATION SHEET.IN THIS CASE,U HAD TO DOWNLOAD CALCULATION SHEETS ONCE AGAIN.</t>
  </si>
  <si>
    <t>TABLE "A"</t>
  </si>
  <si>
    <t>[See item 7 of Annexure 1]</t>
  </si>
  <si>
    <t>Previous year</t>
  </si>
  <si>
    <t>Total income of the relevent previous year(Rs.)</t>
  </si>
  <si>
    <t>Salary received in arrears or advance relating to the relevent previous year as mentioned in column (1) (Rs.)</t>
  </si>
  <si>
    <t>Total income (as increased by salary received in arrears or advance) of the relevent previous year mentioned in column (1) (Rs.)</t>
  </si>
  <si>
    <t>Tax on total income  [as per column (2)-After Rebate and including Edn Cess and Surcharge] (Rs.)</t>
  </si>
  <si>
    <t>Tax on total income[as per column (4) After Rebate and including Edn Cess and Surcharge]  (Rs.)</t>
  </si>
  <si>
    <t>Difference in tax [Amount under column (6) minus amount under column   (5)]  (Rs.)</t>
  </si>
  <si>
    <t>(1)</t>
  </si>
  <si>
    <t>(2)</t>
  </si>
  <si>
    <t>(3)</t>
  </si>
  <si>
    <t>(4)</t>
  </si>
  <si>
    <t>(5)</t>
  </si>
  <si>
    <t>(6)</t>
  </si>
  <si>
    <t>(7)</t>
  </si>
  <si>
    <t>Signature:</t>
  </si>
  <si>
    <t>Name:</t>
  </si>
  <si>
    <t>Designation:</t>
  </si>
  <si>
    <t>Place:</t>
  </si>
  <si>
    <t>Dept:</t>
  </si>
  <si>
    <t>Date:</t>
  </si>
  <si>
    <t>FORM NO.10 E</t>
  </si>
  <si>
    <t>[See rule 21AA]</t>
  </si>
  <si>
    <t>Form for furnishing particulars of income under section 192(2A) for the year ending 31 st March, 2011 for claiming relief under section 89(1) by a Government servant or an employee in a 2[company,co-operative society,local authority ,university, institution,association or body]</t>
  </si>
  <si>
    <t>Name and address of the employee</t>
  </si>
  <si>
    <t>Permanent account number</t>
  </si>
  <si>
    <t>Residential status</t>
  </si>
  <si>
    <t>RESIDENT AND ORDINARILY RESIDENT</t>
  </si>
  <si>
    <t>Particulars of income referred to in rule 21A of the Income-tax Rules, 1962,during the previous year relevant to assessment year 2011-12                                  (Rs.)</t>
  </si>
  <si>
    <t>1 (a)</t>
  </si>
  <si>
    <t>Salary received in arrears or in advance in accordance with the provisions of sub-rule (2) of rule 21A.</t>
  </si>
  <si>
    <t>(b)</t>
  </si>
  <si>
    <t>Payment in the nature of gratuity in respect of past services, extending over a period of not less than 5 years in accordance with the provisions of sub-rule (3) of rule 21A.</t>
  </si>
  <si>
    <t>(c)</t>
  </si>
  <si>
    <t>(d)</t>
  </si>
  <si>
    <t>Payment in commutation of pension in accordance with the provisions of sub-rule (5) of rule 21A</t>
  </si>
  <si>
    <t>Detailed particulars of payments referred to above may be given in Annexure I,II,IIA,III, or IV as the case may be.</t>
  </si>
  <si>
    <t>I,</t>
  </si>
  <si>
    <t>Verified today, the</t>
  </si>
  <si>
    <t xml:space="preserve">Day of </t>
  </si>
  <si>
    <t xml:space="preserve">  Signature of the employee</t>
  </si>
  <si>
    <t>ANNEXURE-I</t>
  </si>
  <si>
    <t>[See item 2 of Form No.10E]</t>
  </si>
  <si>
    <t>Arrears or advance salary</t>
  </si>
  <si>
    <t>Sl No.</t>
  </si>
  <si>
    <t xml:space="preserve">Particulars </t>
  </si>
  <si>
    <t>Amount (Rs.)</t>
  </si>
  <si>
    <t>Total income (excluding salary received in arrears or advance)</t>
  </si>
  <si>
    <t>Salary received in arrears or advance</t>
  </si>
  <si>
    <t>Total income (as increased by salary received in arrears or advance) [Add item 1 and item 2]</t>
  </si>
  <si>
    <t>Tax on total income [as per item 3]</t>
  </si>
  <si>
    <t>Tax on total income [as per item 1]</t>
  </si>
  <si>
    <t>Tax on salary received in arrears or advance [Difference of item 4 and item 5]</t>
  </si>
  <si>
    <t>Tax computed in accordance with Table "A" [Brought from column 7 of Table A]</t>
  </si>
  <si>
    <t>Relief under Section 89(1) [Indicate difference between the amounts mentioned against item 6 and item 7]</t>
  </si>
  <si>
    <t>Payment in the nature of compensation from the employer or former employer at or in connection with termination of employment after continuous service of not less than 3 years or where the unexpired portion of term of employment is also not less than 3 year.</t>
  </si>
  <si>
    <t xml:space="preserve">                                                                                                                               Signature of the employee</t>
  </si>
  <si>
    <t>VARIFICATION</t>
  </si>
  <si>
    <t>,do hereby declare that what is stated above is true to the best of my knowledge and belief.</t>
  </si>
  <si>
    <t>Place</t>
  </si>
  <si>
    <t>Date</t>
  </si>
  <si>
    <t>Designation</t>
  </si>
  <si>
    <t>VO</t>
  </si>
  <si>
    <t>CVH FATTA</t>
  </si>
  <si>
    <t>OFFICE/DEPTT.</t>
  </si>
  <si>
    <t>ABLPK0949G</t>
  </si>
  <si>
    <t>CORRECTLY FILL ACP PORTION.DATA SHEET IS NOT PROTECTED.INSERT ROWS WHERE U GOT ACP &amp; SEE FORMULA S CORRECTLY.ILLUSTRATION IS GIVEN IN DATA SHEET.</t>
  </si>
  <si>
    <t>ALL OTHER FORMS WILL BE FILLED AUTOMATICALLY STILL CHECK IF ANY FIELD REMAIN UNFILLED.</t>
  </si>
  <si>
    <t>mailto:employeesforum1@gmail.com</t>
  </si>
  <si>
    <t>http://www.employeeforum.yolasite.com/</t>
  </si>
  <si>
    <r>
      <rPr>
        <b/>
        <sz val="11"/>
        <rFont val="Raavi"/>
        <family val="0"/>
      </rPr>
      <t>CALCULATOR FOR RELIEF U/S 89(1) FOR FY 2011-12 DESIGNED  BY</t>
    </r>
    <r>
      <rPr>
        <u val="single"/>
        <sz val="11"/>
        <color indexed="12"/>
        <rFont val="Raavi"/>
        <family val="2"/>
      </rPr>
      <t xml:space="preserve"> employeesforum1@gmail.com</t>
    </r>
  </si>
  <si>
    <t>nil</t>
  </si>
  <si>
    <t>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</si>
</sst>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"/>
    <numFmt numFmtId="165" formatCode="d\-mmm\-yy;@"/>
  </numFmts>
  <fonts count="88">
    <font>
      <sz val="11"/>
      <color theme="1"/>
      <name val="Calibri"/>
      <family val="2"/>
    </font>
    <font>
      <sz val="11"/>
      <color indexed="8"/>
      <name val="Raavi"/>
      <family val="2"/>
    </font>
    <font>
      <b/>
      <sz val="10"/>
      <color indexed="8"/>
      <name val="Calibri"/>
      <family val="2"/>
    </font>
    <font>
      <u val="single"/>
      <sz val="11"/>
      <color indexed="12"/>
      <name val="Raav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Raavi"/>
      <family val="2"/>
    </font>
    <font>
      <b/>
      <sz val="11"/>
      <color indexed="8"/>
      <name val="Raavi"/>
      <family val="2"/>
    </font>
    <font>
      <sz val="11"/>
      <color indexed="9"/>
      <name val="Raavi"/>
      <family val="2"/>
    </font>
    <font>
      <b/>
      <i/>
      <sz val="11"/>
      <color indexed="9"/>
      <name val="Raavi"/>
      <family val="2"/>
    </font>
    <font>
      <b/>
      <i/>
      <sz val="16"/>
      <color indexed="8"/>
      <name val="Raavi"/>
      <family val="2"/>
    </font>
    <font>
      <b/>
      <i/>
      <sz val="11"/>
      <color indexed="8"/>
      <name val="Raavi"/>
      <family val="2"/>
    </font>
    <font>
      <b/>
      <i/>
      <sz val="9"/>
      <color indexed="8"/>
      <name val="Raavi"/>
      <family val="2"/>
    </font>
    <font>
      <b/>
      <i/>
      <sz val="8"/>
      <color indexed="8"/>
      <name val="Raavi"/>
      <family val="2"/>
    </font>
    <font>
      <b/>
      <i/>
      <sz val="10"/>
      <color indexed="8"/>
      <name val="Raav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Raavi"/>
      <family val="0"/>
    </font>
    <font>
      <b/>
      <sz val="9"/>
      <color indexed="8"/>
      <name val="Raavi"/>
      <family val="0"/>
    </font>
    <font>
      <b/>
      <sz val="14"/>
      <color indexed="8"/>
      <name val="Raavi"/>
      <family val="0"/>
    </font>
    <font>
      <b/>
      <sz val="11"/>
      <color indexed="23"/>
      <name val="Calibri"/>
      <family val="2"/>
    </font>
    <font>
      <b/>
      <sz val="11"/>
      <name val="Raavi"/>
      <family val="0"/>
    </font>
    <font>
      <b/>
      <sz val="11"/>
      <color indexed="12"/>
      <name val="Raavi"/>
      <family val="0"/>
    </font>
    <font>
      <b/>
      <sz val="10"/>
      <color indexed="8"/>
      <name val="Times New Roman"/>
      <family val="2"/>
    </font>
    <font>
      <b/>
      <u val="single"/>
      <sz val="12"/>
      <color indexed="8"/>
      <name val="Times New Roman"/>
      <family val="2"/>
    </font>
    <font>
      <b/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15"/>
      <name val="Calibri"/>
      <family val="2"/>
    </font>
    <font>
      <u val="single"/>
      <sz val="11"/>
      <color indexed="9"/>
      <name val="Raavi"/>
      <family val="0"/>
    </font>
    <font>
      <u val="single"/>
      <sz val="11"/>
      <color indexed="23"/>
      <name val="Raavi"/>
      <family val="0"/>
    </font>
    <font>
      <b/>
      <sz val="18"/>
      <color indexed="56"/>
      <name val="Raavi"/>
      <family val="2"/>
    </font>
    <font>
      <b/>
      <sz val="15"/>
      <color indexed="56"/>
      <name val="Raavi"/>
      <family val="2"/>
    </font>
    <font>
      <b/>
      <sz val="13"/>
      <color indexed="56"/>
      <name val="Raavi"/>
      <family val="2"/>
    </font>
    <font>
      <b/>
      <sz val="11"/>
      <color indexed="56"/>
      <name val="Raavi"/>
      <family val="2"/>
    </font>
    <font>
      <sz val="11"/>
      <color indexed="17"/>
      <name val="Raavi"/>
      <family val="2"/>
    </font>
    <font>
      <sz val="11"/>
      <color indexed="20"/>
      <name val="Raavi"/>
      <family val="2"/>
    </font>
    <font>
      <sz val="11"/>
      <color indexed="60"/>
      <name val="Raavi"/>
      <family val="2"/>
    </font>
    <font>
      <sz val="11"/>
      <color indexed="62"/>
      <name val="Raavi"/>
      <family val="2"/>
    </font>
    <font>
      <b/>
      <sz val="11"/>
      <color indexed="63"/>
      <name val="Raavi"/>
      <family val="2"/>
    </font>
    <font>
      <b/>
      <sz val="11"/>
      <color indexed="52"/>
      <name val="Raavi"/>
      <family val="2"/>
    </font>
    <font>
      <sz val="11"/>
      <color indexed="52"/>
      <name val="Raavi"/>
      <family val="2"/>
    </font>
    <font>
      <b/>
      <sz val="11"/>
      <color indexed="9"/>
      <name val="Raavi"/>
      <family val="2"/>
    </font>
    <font>
      <i/>
      <sz val="11"/>
      <color indexed="23"/>
      <name val="Raav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b/>
      <sz val="11"/>
      <color theme="1" tint="0.4999800026416778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0"/>
      <name val="Calibri"/>
      <family val="0"/>
    </font>
    <font>
      <b/>
      <i/>
      <sz val="11"/>
      <color theme="0"/>
      <name val="Calibri"/>
      <family val="2"/>
    </font>
    <font>
      <b/>
      <i/>
      <sz val="16"/>
      <color theme="1"/>
      <name val="Calibri"/>
      <family val="2"/>
    </font>
    <font>
      <u val="single"/>
      <sz val="11"/>
      <color theme="1" tint="0.49998000264167786"/>
      <name val="Calibri"/>
      <family val="0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thick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 style="thin"/>
      <top style="thin"/>
      <bottom style="thick"/>
    </border>
    <border>
      <left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/>
      <top style="thick"/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92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 applyProtection="1">
      <alignment/>
      <protection hidden="1"/>
    </xf>
    <xf numFmtId="9" fontId="69" fillId="7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0" xfId="0" applyNumberFormat="1" applyFont="1" applyBorder="1" applyAlignment="1" applyProtection="1">
      <alignment vertical="center"/>
      <protection hidden="1"/>
    </xf>
    <xf numFmtId="0" fontId="67" fillId="0" borderId="11" xfId="0" applyNumberFormat="1" applyFont="1" applyBorder="1" applyAlignment="1" applyProtection="1">
      <alignment vertical="center"/>
      <protection hidden="1"/>
    </xf>
    <xf numFmtId="0" fontId="67" fillId="7" borderId="10" xfId="0" applyNumberFormat="1" applyFont="1" applyFill="1" applyBorder="1" applyAlignment="1" applyProtection="1">
      <alignment vertical="center"/>
      <protection locked="0"/>
    </xf>
    <xf numFmtId="0" fontId="67" fillId="7" borderId="11" xfId="0" applyNumberFormat="1" applyFont="1" applyFill="1" applyBorder="1" applyAlignment="1" applyProtection="1">
      <alignment vertical="center"/>
      <protection locked="0"/>
    </xf>
    <xf numFmtId="0" fontId="67" fillId="7" borderId="10" xfId="0" applyNumberFormat="1" applyFont="1" applyFill="1" applyBorder="1" applyAlignment="1" applyProtection="1">
      <alignment vertical="center" wrapText="1"/>
      <protection locked="0"/>
    </xf>
    <xf numFmtId="0" fontId="67" fillId="0" borderId="10" xfId="0" applyNumberFormat="1" applyFont="1" applyBorder="1" applyAlignment="1" applyProtection="1">
      <alignment vertical="center" wrapText="1"/>
      <protection hidden="1"/>
    </xf>
    <xf numFmtId="0" fontId="67" fillId="0" borderId="11" xfId="0" applyNumberFormat="1" applyFont="1" applyBorder="1" applyAlignment="1" applyProtection="1">
      <alignment vertical="center" wrapText="1"/>
      <protection hidden="1"/>
    </xf>
    <xf numFmtId="0" fontId="67" fillId="33" borderId="10" xfId="0" applyNumberFormat="1" applyFont="1" applyFill="1" applyBorder="1" applyAlignment="1" applyProtection="1">
      <alignment vertical="center"/>
      <protection hidden="1"/>
    </xf>
    <xf numFmtId="0" fontId="67" fillId="33" borderId="11" xfId="0" applyNumberFormat="1" applyFont="1" applyFill="1" applyBorder="1" applyAlignment="1" applyProtection="1">
      <alignment vertical="center"/>
      <protection hidden="1"/>
    </xf>
    <xf numFmtId="0" fontId="67" fillId="0" borderId="10" xfId="0" applyFont="1" applyBorder="1" applyAlignment="1" applyProtection="1">
      <alignment horizontal="right" vertical="center"/>
      <protection hidden="1"/>
    </xf>
    <xf numFmtId="0" fontId="67" fillId="0" borderId="10" xfId="0" applyFont="1" applyBorder="1" applyAlignment="1" applyProtection="1">
      <alignment/>
      <protection hidden="1"/>
    </xf>
    <xf numFmtId="0" fontId="67" fillId="0" borderId="11" xfId="0" applyFont="1" applyBorder="1" applyAlignment="1" applyProtection="1">
      <alignment/>
      <protection hidden="1"/>
    </xf>
    <xf numFmtId="0" fontId="70" fillId="0" borderId="12" xfId="0" applyNumberFormat="1" applyFont="1" applyBorder="1" applyAlignment="1" applyProtection="1">
      <alignment horizontal="center" vertical="center"/>
      <protection hidden="1"/>
    </xf>
    <xf numFmtId="0" fontId="67" fillId="0" borderId="13" xfId="0" applyNumberFormat="1" applyFont="1" applyBorder="1" applyAlignment="1" applyProtection="1">
      <alignment vertical="center"/>
      <protection hidden="1"/>
    </xf>
    <xf numFmtId="0" fontId="67" fillId="0" borderId="14" xfId="0" applyNumberFormat="1" applyFont="1" applyBorder="1" applyAlignment="1" applyProtection="1">
      <alignment vertical="center"/>
      <protection hidden="1"/>
    </xf>
    <xf numFmtId="0" fontId="67" fillId="7" borderId="15" xfId="0" applyNumberFormat="1" applyFont="1" applyFill="1" applyBorder="1" applyAlignment="1" applyProtection="1">
      <alignment vertical="center"/>
      <protection locked="0"/>
    </xf>
    <xf numFmtId="0" fontId="67" fillId="7" borderId="16" xfId="0" applyNumberFormat="1" applyFont="1" applyFill="1" applyBorder="1" applyAlignment="1" applyProtection="1">
      <alignment vertical="center"/>
      <protection locked="0"/>
    </xf>
    <xf numFmtId="0" fontId="67" fillId="0" borderId="15" xfId="0" applyNumberFormat="1" applyFont="1" applyBorder="1" applyAlignment="1" applyProtection="1">
      <alignment vertical="center"/>
      <protection hidden="1"/>
    </xf>
    <xf numFmtId="0" fontId="67" fillId="0" borderId="16" xfId="0" applyNumberFormat="1" applyFont="1" applyBorder="1" applyAlignment="1" applyProtection="1">
      <alignment vertical="center"/>
      <protection hidden="1"/>
    </xf>
    <xf numFmtId="0" fontId="67" fillId="34" borderId="10" xfId="0" applyNumberFormat="1" applyFont="1" applyFill="1" applyBorder="1" applyAlignment="1" applyProtection="1">
      <alignment vertical="center"/>
      <protection hidden="1"/>
    </xf>
    <xf numFmtId="0" fontId="67" fillId="34" borderId="11" xfId="0" applyNumberFormat="1" applyFont="1" applyFill="1" applyBorder="1" applyAlignment="1" applyProtection="1">
      <alignment vertical="center"/>
      <protection hidden="1"/>
    </xf>
    <xf numFmtId="0" fontId="67" fillId="0" borderId="0" xfId="0" applyNumberFormat="1" applyFont="1" applyAlignment="1" applyProtection="1">
      <alignment horizontal="center" vertical="top"/>
      <protection hidden="1"/>
    </xf>
    <xf numFmtId="0" fontId="67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9" fontId="73" fillId="0" borderId="19" xfId="0" applyNumberFormat="1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 wrapText="1"/>
    </xf>
    <xf numFmtId="0" fontId="67" fillId="0" borderId="17" xfId="0" applyFont="1" applyBorder="1" applyAlignment="1">
      <alignment/>
    </xf>
    <xf numFmtId="0" fontId="0" fillId="0" borderId="10" xfId="0" applyBorder="1" applyAlignment="1">
      <alignment/>
    </xf>
    <xf numFmtId="0" fontId="73" fillId="0" borderId="18" xfId="0" applyFont="1" applyBorder="1" applyAlignment="1">
      <alignment horizontal="left" vertical="center" wrapText="1"/>
    </xf>
    <xf numFmtId="0" fontId="0" fillId="35" borderId="17" xfId="0" applyFill="1" applyBorder="1" applyAlignment="1">
      <alignment/>
    </xf>
    <xf numFmtId="0" fontId="73" fillId="0" borderId="10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9" fontId="73" fillId="0" borderId="21" xfId="0" applyNumberFormat="1" applyFont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74" fillId="36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 applyProtection="1">
      <alignment horizontal="center" vertical="center" wrapText="1"/>
      <protection locked="0"/>
    </xf>
    <xf numFmtId="0" fontId="74" fillId="36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77" fillId="34" borderId="10" xfId="0" applyNumberFormat="1" applyFont="1" applyFill="1" applyBorder="1" applyAlignment="1" applyProtection="1">
      <alignment vertical="center"/>
      <protection hidden="1"/>
    </xf>
    <xf numFmtId="0" fontId="77" fillId="34" borderId="10" xfId="0" applyNumberFormat="1" applyFont="1" applyFill="1" applyBorder="1" applyAlignment="1" applyProtection="1">
      <alignment vertical="center"/>
      <protection locked="0"/>
    </xf>
    <xf numFmtId="0" fontId="75" fillId="7" borderId="10" xfId="0" applyFont="1" applyFill="1" applyBorder="1" applyAlignment="1">
      <alignment vertical="center" wrapText="1"/>
    </xf>
    <xf numFmtId="0" fontId="75" fillId="7" borderId="12" xfId="0" applyFont="1" applyFill="1" applyBorder="1" applyAlignment="1">
      <alignment vertical="center" wrapText="1"/>
    </xf>
    <xf numFmtId="0" fontId="74" fillId="7" borderId="10" xfId="0" applyFont="1" applyFill="1" applyBorder="1" applyAlignment="1" applyProtection="1">
      <alignment horizontal="center" vertical="center" wrapText="1"/>
      <protection locked="0"/>
    </xf>
    <xf numFmtId="0" fontId="74" fillId="7" borderId="10" xfId="0" applyFont="1" applyFill="1" applyBorder="1" applyAlignment="1">
      <alignment horizontal="center" vertical="center" wrapText="1"/>
    </xf>
    <xf numFmtId="0" fontId="74" fillId="7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4" fillId="0" borderId="13" xfId="0" applyFont="1" applyBorder="1" applyAlignment="1" applyProtection="1">
      <alignment horizontal="center" vertical="center"/>
      <protection hidden="1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71" fillId="7" borderId="10" xfId="0" applyFont="1" applyFill="1" applyBorder="1" applyAlignment="1">
      <alignment horizontal="center" vertical="center" wrapText="1"/>
    </xf>
    <xf numFmtId="1" fontId="74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1" fillId="33" borderId="0" xfId="52" applyFill="1" applyBorder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0" fontId="78" fillId="0" borderId="27" xfId="0" applyFont="1" applyBorder="1" applyAlignment="1" applyProtection="1">
      <alignment horizontal="center" vertical="center"/>
      <protection hidden="1"/>
    </xf>
    <xf numFmtId="0" fontId="67" fillId="0" borderId="28" xfId="0" applyFont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vertical="center"/>
    </xf>
    <xf numFmtId="165" fontId="2" fillId="0" borderId="10" xfId="0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right" vertical="center"/>
    </xf>
    <xf numFmtId="1" fontId="2" fillId="0" borderId="3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79" fillId="0" borderId="32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79" fillId="0" borderId="33" xfId="0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9" fillId="0" borderId="34" xfId="0" applyFont="1" applyBorder="1" applyAlignment="1">
      <alignment vertical="center"/>
    </xf>
    <xf numFmtId="0" fontId="79" fillId="0" borderId="35" xfId="0" applyFont="1" applyBorder="1" applyAlignment="1">
      <alignment vertical="center"/>
    </xf>
    <xf numFmtId="0" fontId="79" fillId="0" borderId="36" xfId="0" applyFont="1" applyBorder="1" applyAlignment="1">
      <alignment vertical="center"/>
    </xf>
    <xf numFmtId="0" fontId="80" fillId="0" borderId="17" xfId="52" applyNumberFormat="1" applyFont="1" applyFill="1" applyBorder="1" applyAlignment="1">
      <alignment/>
    </xf>
    <xf numFmtId="0" fontId="78" fillId="0" borderId="0" xfId="0" applyFont="1" applyBorder="1" applyAlignment="1" applyProtection="1">
      <alignment vertical="center"/>
      <protection hidden="1"/>
    </xf>
    <xf numFmtId="0" fontId="4" fillId="0" borderId="0" xfId="0" applyNumberFormat="1" applyFont="1" applyFill="1" applyAlignment="1">
      <alignment horizontal="left" vertical="center" wrapText="1"/>
    </xf>
    <xf numFmtId="0" fontId="61" fillId="16" borderId="24" xfId="52" applyFont="1" applyFill="1" applyBorder="1" applyAlignment="1" applyProtection="1">
      <alignment horizontal="center" vertical="center"/>
      <protection hidden="1"/>
    </xf>
    <xf numFmtId="0" fontId="61" fillId="16" borderId="25" xfId="52" applyFill="1" applyBorder="1" applyAlignment="1" applyProtection="1">
      <alignment horizontal="center" vertical="center"/>
      <protection hidden="1"/>
    </xf>
    <xf numFmtId="0" fontId="61" fillId="16" borderId="26" xfId="52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73" fillId="7" borderId="18" xfId="0" applyFont="1" applyFill="1" applyBorder="1" applyAlignment="1">
      <alignment horizontal="center" vertical="center" wrapText="1"/>
    </xf>
    <xf numFmtId="0" fontId="73" fillId="7" borderId="27" xfId="0" applyFont="1" applyFill="1" applyBorder="1" applyAlignment="1">
      <alignment horizontal="center" vertical="center" wrapText="1"/>
    </xf>
    <xf numFmtId="0" fontId="73" fillId="7" borderId="37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/>
    </xf>
    <xf numFmtId="0" fontId="67" fillId="0" borderId="18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37" xfId="0" applyFont="1" applyBorder="1" applyAlignment="1">
      <alignment horizontal="left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 locked="0"/>
    </xf>
    <xf numFmtId="0" fontId="0" fillId="7" borderId="37" xfId="0" applyFill="1" applyBorder="1" applyAlignment="1" applyProtection="1">
      <alignment horizontal="center" vertical="center"/>
      <protection locked="0"/>
    </xf>
    <xf numFmtId="0" fontId="73" fillId="0" borderId="18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61" fillId="16" borderId="38" xfId="52" applyFill="1" applyBorder="1" applyAlignment="1" applyProtection="1">
      <alignment horizontal="center" vertical="center"/>
      <protection hidden="1"/>
    </xf>
    <xf numFmtId="0" fontId="61" fillId="16" borderId="30" xfId="52" applyFill="1" applyBorder="1" applyAlignment="1" applyProtection="1">
      <alignment horizontal="center" vertical="center"/>
      <protection hidden="1"/>
    </xf>
    <xf numFmtId="0" fontId="61" fillId="16" borderId="39" xfId="52" applyFill="1" applyBorder="1" applyAlignment="1" applyProtection="1">
      <alignment horizontal="center" vertical="center"/>
      <protection hidden="1"/>
    </xf>
    <xf numFmtId="0" fontId="81" fillId="35" borderId="17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81" fillId="35" borderId="11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73" fillId="0" borderId="18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8" fillId="35" borderId="43" xfId="0" applyFont="1" applyFill="1" applyBorder="1" applyAlignment="1" applyProtection="1">
      <alignment horizontal="center" vertical="center" wrapText="1"/>
      <protection hidden="1"/>
    </xf>
    <xf numFmtId="0" fontId="68" fillId="35" borderId="0" xfId="0" applyFont="1" applyFill="1" applyBorder="1" applyAlignment="1" applyProtection="1">
      <alignment horizontal="center" vertical="center" wrapText="1"/>
      <protection hidden="1"/>
    </xf>
    <xf numFmtId="0" fontId="68" fillId="35" borderId="31" xfId="0" applyFont="1" applyFill="1" applyBorder="1" applyAlignment="1" applyProtection="1">
      <alignment horizontal="center" vertical="center" wrapText="1"/>
      <protection hidden="1"/>
    </xf>
    <xf numFmtId="0" fontId="68" fillId="35" borderId="44" xfId="0" applyFont="1" applyFill="1" applyBorder="1" applyAlignment="1" applyProtection="1">
      <alignment horizontal="center" vertical="center" wrapText="1"/>
      <protection hidden="1"/>
    </xf>
    <xf numFmtId="0" fontId="68" fillId="35" borderId="45" xfId="0" applyFont="1" applyFill="1" applyBorder="1" applyAlignment="1" applyProtection="1">
      <alignment horizontal="center" vertical="center" wrapText="1"/>
      <protection hidden="1"/>
    </xf>
    <xf numFmtId="0" fontId="68" fillId="35" borderId="46" xfId="0" applyFont="1" applyFill="1" applyBorder="1" applyAlignment="1" applyProtection="1">
      <alignment horizontal="center" vertical="center" wrapText="1"/>
      <protection hidden="1"/>
    </xf>
    <xf numFmtId="0" fontId="0" fillId="35" borderId="47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67" fillId="0" borderId="18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52" fillId="35" borderId="48" xfId="0" applyFont="1" applyFill="1" applyBorder="1" applyAlignment="1" applyProtection="1">
      <alignment horizontal="center" vertical="center" wrapText="1"/>
      <protection hidden="1"/>
    </xf>
    <xf numFmtId="0" fontId="52" fillId="35" borderId="28" xfId="0" applyFont="1" applyFill="1" applyBorder="1" applyAlignment="1" applyProtection="1">
      <alignment horizontal="center" vertical="center" wrapText="1"/>
      <protection hidden="1"/>
    </xf>
    <xf numFmtId="0" fontId="52" fillId="35" borderId="49" xfId="0" applyFont="1" applyFill="1" applyBorder="1" applyAlignment="1" applyProtection="1">
      <alignment horizontal="center" vertical="center" wrapText="1"/>
      <protection hidden="1"/>
    </xf>
    <xf numFmtId="0" fontId="52" fillId="35" borderId="43" xfId="0" applyFont="1" applyFill="1" applyBorder="1" applyAlignment="1" applyProtection="1">
      <alignment horizontal="center" vertical="center" wrapText="1"/>
      <protection hidden="1"/>
    </xf>
    <xf numFmtId="0" fontId="52" fillId="35" borderId="0" xfId="0" applyFont="1" applyFill="1" applyBorder="1" applyAlignment="1" applyProtection="1">
      <alignment horizontal="center" vertical="center" wrapText="1"/>
      <protection hidden="1"/>
    </xf>
    <xf numFmtId="0" fontId="52" fillId="35" borderId="31" xfId="0" applyFont="1" applyFill="1" applyBorder="1" applyAlignment="1" applyProtection="1">
      <alignment horizontal="center" vertical="center" wrapText="1"/>
      <protection hidden="1"/>
    </xf>
    <xf numFmtId="0" fontId="73" fillId="0" borderId="50" xfId="0" applyFont="1" applyBorder="1" applyAlignment="1" applyProtection="1">
      <alignment horizontal="center" vertical="center" wrapText="1"/>
      <protection locked="0"/>
    </xf>
    <xf numFmtId="0" fontId="73" fillId="0" borderId="37" xfId="0" applyFont="1" applyBorder="1" applyAlignment="1" applyProtection="1">
      <alignment horizontal="center" vertical="center" wrapText="1"/>
      <protection locked="0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81" fillId="35" borderId="38" xfId="0" applyFont="1" applyFill="1" applyBorder="1" applyAlignment="1">
      <alignment horizontal="center" vertical="center" wrapText="1"/>
    </xf>
    <xf numFmtId="0" fontId="81" fillId="35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73" fillId="36" borderId="17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5" fillId="7" borderId="10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7" borderId="12" xfId="0" applyFont="1" applyFill="1" applyBorder="1" applyAlignment="1">
      <alignment horizontal="center" vertical="center" wrapText="1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0" fillId="7" borderId="27" xfId="0" applyFill="1" applyBorder="1" applyAlignment="1" applyProtection="1">
      <alignment horizontal="center" vertical="center" wrapText="1"/>
      <protection locked="0"/>
    </xf>
    <xf numFmtId="0" fontId="0" fillId="7" borderId="37" xfId="0" applyFill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73" fillId="36" borderId="53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0" fontId="78" fillId="0" borderId="38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0" fontId="73" fillId="0" borderId="51" xfId="0" applyFont="1" applyBorder="1" applyAlignment="1" applyProtection="1">
      <alignment horizontal="center" vertical="center" wrapText="1"/>
      <protection locked="0"/>
    </xf>
    <xf numFmtId="0" fontId="73" fillId="0" borderId="49" xfId="0" applyFont="1" applyBorder="1" applyAlignment="1" applyProtection="1">
      <alignment horizontal="center" vertical="center" wrapText="1"/>
      <protection locked="0"/>
    </xf>
    <xf numFmtId="0" fontId="74" fillId="0" borderId="48" xfId="0" applyFont="1" applyFill="1" applyBorder="1" applyAlignment="1" applyProtection="1">
      <alignment horizontal="left" vertical="center" wrapText="1"/>
      <protection locked="0"/>
    </xf>
    <xf numFmtId="0" fontId="74" fillId="0" borderId="28" xfId="0" applyFont="1" applyFill="1" applyBorder="1" applyAlignment="1" applyProtection="1">
      <alignment horizontal="left" vertical="center" wrapText="1"/>
      <protection locked="0"/>
    </xf>
    <xf numFmtId="0" fontId="74" fillId="0" borderId="49" xfId="0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67" fillId="7" borderId="18" xfId="0" applyFont="1" applyFill="1" applyBorder="1" applyAlignment="1" applyProtection="1">
      <alignment horizontal="center" vertical="center"/>
      <protection locked="0"/>
    </xf>
    <xf numFmtId="0" fontId="67" fillId="7" borderId="27" xfId="0" applyFont="1" applyFill="1" applyBorder="1" applyAlignment="1" applyProtection="1">
      <alignment horizontal="center" vertical="center"/>
      <protection locked="0"/>
    </xf>
    <xf numFmtId="0" fontId="67" fillId="7" borderId="54" xfId="0" applyFont="1" applyFill="1" applyBorder="1" applyAlignment="1" applyProtection="1">
      <alignment horizontal="center" vertical="center"/>
      <protection locked="0"/>
    </xf>
    <xf numFmtId="0" fontId="67" fillId="0" borderId="10" xfId="0" applyNumberFormat="1" applyFont="1" applyBorder="1" applyAlignment="1" applyProtection="1">
      <alignment horizontal="right" vertical="center"/>
      <protection hidden="1"/>
    </xf>
    <xf numFmtId="0" fontId="67" fillId="0" borderId="11" xfId="0" applyNumberFormat="1" applyFont="1" applyBorder="1" applyAlignment="1" applyProtection="1">
      <alignment horizontal="right" vertical="center"/>
      <protection hidden="1"/>
    </xf>
    <xf numFmtId="0" fontId="79" fillId="0" borderId="17" xfId="0" applyFont="1" applyBorder="1" applyAlignment="1" applyProtection="1">
      <alignment horizontal="center" vertical="center"/>
      <protection hidden="1"/>
    </xf>
    <xf numFmtId="0" fontId="79" fillId="0" borderId="10" xfId="0" applyFont="1" applyBorder="1" applyAlignment="1" applyProtection="1">
      <alignment horizontal="center" vertical="center"/>
      <protection hidden="1"/>
    </xf>
    <xf numFmtId="0" fontId="67" fillId="0" borderId="10" xfId="0" applyFont="1" applyBorder="1" applyAlignment="1" applyProtection="1">
      <alignment horizontal="right" vertical="center"/>
      <protection hidden="1"/>
    </xf>
    <xf numFmtId="0" fontId="67" fillId="0" borderId="11" xfId="0" applyFont="1" applyBorder="1" applyAlignment="1" applyProtection="1">
      <alignment horizontal="right" vertical="center"/>
      <protection hidden="1"/>
    </xf>
    <xf numFmtId="0" fontId="78" fillId="0" borderId="55" xfId="0" applyNumberFormat="1" applyFont="1" applyBorder="1" applyAlignment="1" applyProtection="1">
      <alignment horizontal="center" vertical="center"/>
      <protection hidden="1"/>
    </xf>
    <xf numFmtId="0" fontId="78" fillId="0" borderId="56" xfId="0" applyNumberFormat="1" applyFont="1" applyBorder="1" applyAlignment="1" applyProtection="1">
      <alignment horizontal="center" vertical="center"/>
      <protection hidden="1"/>
    </xf>
    <xf numFmtId="0" fontId="78" fillId="0" borderId="57" xfId="0" applyNumberFormat="1" applyFont="1" applyBorder="1" applyAlignment="1" applyProtection="1">
      <alignment horizontal="center" vertical="center"/>
      <protection hidden="1"/>
    </xf>
    <xf numFmtId="0" fontId="67" fillId="38" borderId="58" xfId="0" applyNumberFormat="1" applyFont="1" applyFill="1" applyBorder="1" applyAlignment="1" applyProtection="1">
      <alignment horizontal="center" vertical="center"/>
      <protection hidden="1"/>
    </xf>
    <xf numFmtId="0" fontId="67" fillId="38" borderId="13" xfId="0" applyNumberFormat="1" applyFont="1" applyFill="1" applyBorder="1" applyAlignment="1" applyProtection="1">
      <alignment horizontal="center" vertical="center"/>
      <protection hidden="1"/>
    </xf>
    <xf numFmtId="0" fontId="67" fillId="38" borderId="14" xfId="0" applyNumberFormat="1" applyFont="1" applyFill="1" applyBorder="1" applyAlignment="1" applyProtection="1">
      <alignment horizontal="center" vertical="center"/>
      <protection hidden="1"/>
    </xf>
    <xf numFmtId="0" fontId="67" fillId="0" borderId="17" xfId="0" applyNumberFormat="1" applyFont="1" applyBorder="1" applyAlignment="1" applyProtection="1">
      <alignment horizontal="left" vertical="center"/>
      <protection hidden="1"/>
    </xf>
    <xf numFmtId="0" fontId="67" fillId="0" borderId="10" xfId="0" applyNumberFormat="1" applyFont="1" applyBorder="1" applyAlignment="1" applyProtection="1">
      <alignment horizontal="left" vertical="center"/>
      <protection hidden="1"/>
    </xf>
    <xf numFmtId="0" fontId="69" fillId="0" borderId="10" xfId="0" applyNumberFormat="1" applyFont="1" applyBorder="1" applyAlignment="1" applyProtection="1">
      <alignment horizontal="left" vertical="center"/>
      <protection hidden="1"/>
    </xf>
    <xf numFmtId="0" fontId="67" fillId="0" borderId="17" xfId="0" applyNumberFormat="1" applyFont="1" applyBorder="1" applyAlignment="1" applyProtection="1">
      <alignment horizontal="left" vertical="center" wrapText="1"/>
      <protection hidden="1"/>
    </xf>
    <xf numFmtId="0" fontId="67" fillId="0" borderId="10" xfId="0" applyNumberFormat="1" applyFont="1" applyBorder="1" applyAlignment="1" applyProtection="1">
      <alignment horizontal="left" vertical="center" wrapText="1"/>
      <protection hidden="1"/>
    </xf>
    <xf numFmtId="0" fontId="67" fillId="34" borderId="58" xfId="0" applyFont="1" applyFill="1" applyBorder="1" applyAlignment="1" applyProtection="1">
      <alignment horizontal="left" vertical="center"/>
      <protection hidden="1"/>
    </xf>
    <xf numFmtId="0" fontId="67" fillId="34" borderId="59" xfId="0" applyFont="1" applyFill="1" applyBorder="1" applyAlignment="1" applyProtection="1">
      <alignment horizontal="left" vertical="center"/>
      <protection hidden="1"/>
    </xf>
    <xf numFmtId="0" fontId="67" fillId="34" borderId="60" xfId="0" applyFont="1" applyFill="1" applyBorder="1" applyAlignment="1" applyProtection="1">
      <alignment horizontal="left" vertical="center"/>
      <protection hidden="1"/>
    </xf>
    <xf numFmtId="0" fontId="67" fillId="0" borderId="53" xfId="0" applyNumberFormat="1" applyFont="1" applyBorder="1" applyAlignment="1" applyProtection="1">
      <alignment horizontal="center" vertical="center"/>
      <protection hidden="1"/>
    </xf>
    <xf numFmtId="0" fontId="67" fillId="0" borderId="12" xfId="0" applyNumberFormat="1" applyFont="1" applyBorder="1" applyAlignment="1" applyProtection="1">
      <alignment horizontal="center" vertical="center"/>
      <protection hidden="1"/>
    </xf>
    <xf numFmtId="164" fontId="78" fillId="0" borderId="12" xfId="0" applyNumberFormat="1" applyFont="1" applyBorder="1" applyAlignment="1" applyProtection="1">
      <alignment horizontal="right" vertical="center"/>
      <protection hidden="1"/>
    </xf>
    <xf numFmtId="164" fontId="78" fillId="0" borderId="23" xfId="0" applyNumberFormat="1" applyFont="1" applyBorder="1" applyAlignment="1" applyProtection="1">
      <alignment horizontal="right" vertical="center"/>
      <protection hidden="1"/>
    </xf>
    <xf numFmtId="0" fontId="67" fillId="0" borderId="18" xfId="0" applyNumberFormat="1" applyFont="1" applyBorder="1" applyAlignment="1" applyProtection="1">
      <alignment horizontal="left" vertical="center"/>
      <protection hidden="1"/>
    </xf>
    <xf numFmtId="0" fontId="67" fillId="0" borderId="27" xfId="0" applyNumberFormat="1" applyFont="1" applyBorder="1" applyAlignment="1" applyProtection="1">
      <alignment horizontal="left" vertical="center"/>
      <protection hidden="1"/>
    </xf>
    <xf numFmtId="0" fontId="67" fillId="0" borderId="37" xfId="0" applyNumberFormat="1" applyFont="1" applyBorder="1" applyAlignment="1" applyProtection="1">
      <alignment horizontal="left" vertical="center"/>
      <protection hidden="1"/>
    </xf>
    <xf numFmtId="0" fontId="67" fillId="34" borderId="58" xfId="0" applyFont="1" applyFill="1" applyBorder="1" applyAlignment="1" applyProtection="1">
      <alignment horizontal="center" vertical="center"/>
      <protection hidden="1"/>
    </xf>
    <xf numFmtId="0" fontId="67" fillId="34" borderId="59" xfId="0" applyFont="1" applyFill="1" applyBorder="1" applyAlignment="1" applyProtection="1">
      <alignment horizontal="center" vertical="center"/>
      <protection hidden="1"/>
    </xf>
    <xf numFmtId="0" fontId="67" fillId="34" borderId="60" xfId="0" applyFont="1" applyFill="1" applyBorder="1" applyAlignment="1" applyProtection="1">
      <alignment horizontal="center" vertical="center"/>
      <protection hidden="1"/>
    </xf>
    <xf numFmtId="0" fontId="83" fillId="34" borderId="58" xfId="52" applyFont="1" applyFill="1" applyBorder="1" applyAlignment="1" applyProtection="1">
      <alignment horizontal="center" vertical="center"/>
      <protection hidden="1"/>
    </xf>
    <xf numFmtId="0" fontId="61" fillId="34" borderId="59" xfId="52" applyFill="1" applyBorder="1" applyAlignment="1" applyProtection="1">
      <alignment horizontal="center" vertical="center"/>
      <protection hidden="1"/>
    </xf>
    <xf numFmtId="0" fontId="61" fillId="34" borderId="60" xfId="52" applyFill="1" applyBorder="1" applyAlignment="1" applyProtection="1">
      <alignment horizontal="center" vertical="center"/>
      <protection hidden="1"/>
    </xf>
    <xf numFmtId="0" fontId="67" fillId="0" borderId="17" xfId="0" applyNumberFormat="1" applyFont="1" applyBorder="1" applyAlignment="1" applyProtection="1">
      <alignment vertical="center" wrapText="1"/>
      <protection hidden="1"/>
    </xf>
    <xf numFmtId="0" fontId="67" fillId="0" borderId="10" xfId="0" applyNumberFormat="1" applyFont="1" applyBorder="1" applyAlignment="1" applyProtection="1">
      <alignment vertical="center" wrapText="1"/>
      <protection hidden="1"/>
    </xf>
    <xf numFmtId="0" fontId="79" fillId="0" borderId="17" xfId="0" applyNumberFormat="1" applyFont="1" applyBorder="1" applyAlignment="1" applyProtection="1">
      <alignment horizontal="center" vertical="center" wrapText="1"/>
      <protection hidden="1"/>
    </xf>
    <xf numFmtId="0" fontId="79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55" xfId="0" applyNumberFormat="1" applyFont="1" applyBorder="1" applyAlignment="1" applyProtection="1">
      <alignment horizontal="center" vertical="center"/>
      <protection hidden="1"/>
    </xf>
    <xf numFmtId="0" fontId="70" fillId="0" borderId="56" xfId="0" applyNumberFormat="1" applyFont="1" applyBorder="1" applyAlignment="1" applyProtection="1">
      <alignment horizontal="center" vertical="center"/>
      <protection hidden="1"/>
    </xf>
    <xf numFmtId="0" fontId="70" fillId="0" borderId="57" xfId="0" applyNumberFormat="1" applyFont="1" applyBorder="1" applyAlignment="1" applyProtection="1">
      <alignment horizontal="center" vertical="center"/>
      <protection hidden="1"/>
    </xf>
    <xf numFmtId="0" fontId="75" fillId="0" borderId="60" xfId="0" applyNumberFormat="1" applyFont="1" applyBorder="1" applyAlignment="1" applyProtection="1">
      <alignment horizontal="left" vertical="center" wrapText="1"/>
      <protection hidden="1"/>
    </xf>
    <xf numFmtId="0" fontId="75" fillId="0" borderId="15" xfId="0" applyNumberFormat="1" applyFont="1" applyBorder="1" applyAlignment="1" applyProtection="1">
      <alignment horizontal="left" vertical="center" wrapText="1"/>
      <protection hidden="1"/>
    </xf>
    <xf numFmtId="0" fontId="69" fillId="0" borderId="10" xfId="0" applyNumberFormat="1" applyFont="1" applyBorder="1" applyAlignment="1" applyProtection="1">
      <alignment horizontal="left" vertical="center" wrapText="1"/>
      <protection hidden="1"/>
    </xf>
    <xf numFmtId="0" fontId="61" fillId="0" borderId="38" xfId="52" applyFont="1" applyBorder="1" applyAlignment="1" applyProtection="1">
      <alignment horizontal="center" vertical="center"/>
      <protection hidden="1"/>
    </xf>
    <xf numFmtId="0" fontId="61" fillId="0" borderId="30" xfId="52" applyBorder="1" applyAlignment="1" applyProtection="1">
      <alignment horizontal="center" vertical="center"/>
      <protection hidden="1"/>
    </xf>
    <xf numFmtId="0" fontId="61" fillId="0" borderId="39" xfId="52" applyBorder="1" applyAlignment="1" applyProtection="1">
      <alignment horizontal="center" vertical="center"/>
      <protection hidden="1"/>
    </xf>
    <xf numFmtId="0" fontId="67" fillId="7" borderId="13" xfId="0" applyFont="1" applyFill="1" applyBorder="1" applyAlignment="1" applyProtection="1">
      <alignment horizontal="center" vertical="center"/>
      <protection locked="0"/>
    </xf>
    <xf numFmtId="0" fontId="67" fillId="7" borderId="14" xfId="0" applyFont="1" applyFill="1" applyBorder="1" applyAlignment="1" applyProtection="1">
      <alignment horizontal="center" vertical="center"/>
      <protection locked="0"/>
    </xf>
    <xf numFmtId="0" fontId="69" fillId="0" borderId="17" xfId="0" applyFont="1" applyBorder="1" applyAlignment="1" applyProtection="1">
      <alignment horizontal="left" vertical="center"/>
      <protection hidden="1"/>
    </xf>
    <xf numFmtId="0" fontId="69" fillId="0" borderId="10" xfId="0" applyFont="1" applyBorder="1" applyAlignment="1" applyProtection="1">
      <alignment horizontal="left" vertical="center"/>
      <protection hidden="1"/>
    </xf>
    <xf numFmtId="0" fontId="67" fillId="0" borderId="17" xfId="0" applyFont="1" applyBorder="1" applyAlignment="1" applyProtection="1">
      <alignment horizontal="left" vertical="center"/>
      <protection hidden="1"/>
    </xf>
    <xf numFmtId="0" fontId="67" fillId="0" borderId="10" xfId="0" applyFont="1" applyBorder="1" applyAlignment="1" applyProtection="1">
      <alignment horizontal="left" vertical="center"/>
      <protection hidden="1"/>
    </xf>
    <xf numFmtId="0" fontId="67" fillId="7" borderId="10" xfId="0" applyNumberFormat="1" applyFont="1" applyFill="1" applyBorder="1" applyAlignment="1" applyProtection="1">
      <alignment horizontal="center" vertical="center"/>
      <protection locked="0"/>
    </xf>
    <xf numFmtId="0" fontId="67" fillId="7" borderId="18" xfId="0" applyNumberFormat="1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84" fillId="38" borderId="17" xfId="0" applyFont="1" applyFill="1" applyBorder="1" applyAlignment="1" applyProtection="1">
      <alignment horizontal="center" vertical="center"/>
      <protection hidden="1"/>
    </xf>
    <xf numFmtId="0" fontId="84" fillId="38" borderId="10" xfId="0" applyFont="1" applyFill="1" applyBorder="1" applyAlignment="1" applyProtection="1">
      <alignment horizontal="center" vertical="center"/>
      <protection hidden="1"/>
    </xf>
    <xf numFmtId="0" fontId="84" fillId="38" borderId="11" xfId="0" applyFont="1" applyFill="1" applyBorder="1" applyAlignment="1" applyProtection="1">
      <alignment horizontal="center" vertical="center"/>
      <protection hidden="1"/>
    </xf>
    <xf numFmtId="0" fontId="67" fillId="0" borderId="58" xfId="0" applyNumberFormat="1" applyFont="1" applyBorder="1" applyAlignment="1" applyProtection="1">
      <alignment horizontal="center" vertical="center"/>
      <protection hidden="1"/>
    </xf>
    <xf numFmtId="0" fontId="67" fillId="0" borderId="13" xfId="0" applyNumberFormat="1" applyFont="1" applyBorder="1" applyAlignment="1" applyProtection="1">
      <alignment horizontal="center" vertical="center"/>
      <protection hidden="1"/>
    </xf>
    <xf numFmtId="0" fontId="85" fillId="39" borderId="10" xfId="0" applyFont="1" applyFill="1" applyBorder="1" applyAlignment="1" applyProtection="1">
      <alignment horizontal="center" vertical="center"/>
      <protection hidden="1"/>
    </xf>
    <xf numFmtId="0" fontId="85" fillId="39" borderId="11" xfId="0" applyFont="1" applyFill="1" applyBorder="1" applyAlignment="1" applyProtection="1">
      <alignment horizontal="center" vertical="center"/>
      <protection hidden="1"/>
    </xf>
    <xf numFmtId="0" fontId="86" fillId="0" borderId="17" xfId="52" applyFont="1" applyBorder="1" applyAlignment="1" applyProtection="1">
      <alignment horizontal="center" vertical="center"/>
      <protection hidden="1"/>
    </xf>
    <xf numFmtId="0" fontId="86" fillId="0" borderId="10" xfId="52" applyFont="1" applyBorder="1" applyAlignment="1" applyProtection="1">
      <alignment horizontal="center" vertical="center"/>
      <protection hidden="1"/>
    </xf>
    <xf numFmtId="0" fontId="86" fillId="0" borderId="13" xfId="52" applyFont="1" applyBorder="1" applyAlignment="1" applyProtection="1">
      <alignment horizontal="center" vertical="center"/>
      <protection hidden="1"/>
    </xf>
    <xf numFmtId="0" fontId="86" fillId="0" borderId="11" xfId="52" applyFont="1" applyBorder="1" applyAlignment="1" applyProtection="1">
      <alignment horizontal="center" vertical="center"/>
      <protection hidden="1"/>
    </xf>
    <xf numFmtId="0" fontId="75" fillId="0" borderId="60" xfId="0" applyNumberFormat="1" applyFont="1" applyBorder="1" applyAlignment="1" applyProtection="1">
      <alignment vertical="center" wrapText="1"/>
      <protection hidden="1"/>
    </xf>
    <xf numFmtId="0" fontId="75" fillId="0" borderId="15" xfId="0" applyNumberFormat="1" applyFont="1" applyBorder="1" applyAlignment="1" applyProtection="1">
      <alignment vertical="center" wrapText="1"/>
      <protection hidden="1"/>
    </xf>
    <xf numFmtId="0" fontId="79" fillId="0" borderId="17" xfId="0" applyNumberFormat="1" applyFont="1" applyBorder="1" applyAlignment="1" applyProtection="1">
      <alignment horizontal="left" vertical="center" wrapText="1"/>
      <protection hidden="1"/>
    </xf>
    <xf numFmtId="0" fontId="79" fillId="0" borderId="10" xfId="0" applyNumberFormat="1" applyFont="1" applyBorder="1" applyAlignment="1" applyProtection="1">
      <alignment horizontal="left" vertical="center" wrapText="1"/>
      <protection hidden="1"/>
    </xf>
    <xf numFmtId="0" fontId="69" fillId="0" borderId="10" xfId="0" applyNumberFormat="1" applyFont="1" applyBorder="1" applyAlignment="1" applyProtection="1">
      <alignment vertical="center" wrapText="1"/>
      <protection hidden="1"/>
    </xf>
    <xf numFmtId="0" fontId="69" fillId="0" borderId="10" xfId="0" applyNumberFormat="1" applyFont="1" applyBorder="1" applyAlignment="1" applyProtection="1">
      <alignment vertical="center"/>
      <protection hidden="1"/>
    </xf>
    <xf numFmtId="0" fontId="67" fillId="7" borderId="37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top"/>
      <protection hidden="1"/>
    </xf>
    <xf numFmtId="0" fontId="4" fillId="33" borderId="62" xfId="0" applyFont="1" applyFill="1" applyBorder="1" applyAlignment="1" applyProtection="1">
      <alignment horizontal="center" vertical="top"/>
      <protection hidden="1"/>
    </xf>
    <xf numFmtId="0" fontId="4" fillId="33" borderId="52" xfId="0" applyFont="1" applyFill="1" applyBorder="1" applyAlignment="1" applyProtection="1">
      <alignment horizontal="center" vertical="top"/>
      <protection hidden="1"/>
    </xf>
    <xf numFmtId="0" fontId="4" fillId="33" borderId="63" xfId="0" applyFont="1" applyFill="1" applyBorder="1" applyAlignment="1" applyProtection="1">
      <alignment horizontal="center" vertical="top"/>
      <protection hidden="1"/>
    </xf>
    <xf numFmtId="0" fontId="2" fillId="0" borderId="10" xfId="0" applyNumberFormat="1" applyFont="1" applyFill="1" applyBorder="1" applyAlignment="1">
      <alignment horizontal="left" vertical="center" wrapText="1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54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3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0" fontId="9" fillId="7" borderId="33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left" vertical="center" wrapText="1"/>
    </xf>
    <xf numFmtId="0" fontId="31" fillId="0" borderId="61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31" fillId="0" borderId="62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65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right" vertical="center" wrapText="1"/>
    </xf>
    <xf numFmtId="0" fontId="34" fillId="0" borderId="61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36" fillId="0" borderId="51" xfId="0" applyNumberFormat="1" applyFont="1" applyFill="1" applyBorder="1" applyAlignment="1">
      <alignment horizontal="center" vertical="center"/>
    </xf>
    <xf numFmtId="0" fontId="36" fillId="0" borderId="28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33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wrapText="1"/>
    </xf>
    <xf numFmtId="0" fontId="0" fillId="0" borderId="45" xfId="0" applyNumberFormat="1" applyFont="1" applyFill="1" applyBorder="1" applyAlignment="1">
      <alignment horizontal="center" wrapText="1"/>
    </xf>
    <xf numFmtId="0" fontId="0" fillId="0" borderId="63" xfId="0" applyNumberFormat="1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right" vertical="center" wrapText="1"/>
    </xf>
    <xf numFmtId="0" fontId="2" fillId="0" borderId="31" xfId="0" applyNumberFormat="1" applyFont="1" applyFill="1" applyBorder="1" applyAlignment="1">
      <alignment horizontal="right" vertical="center" wrapText="1"/>
    </xf>
    <xf numFmtId="0" fontId="2" fillId="0" borderId="51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0" fillId="0" borderId="34" xfId="52" applyNumberFormat="1" applyFont="1" applyFill="1" applyBorder="1" applyAlignment="1">
      <alignment horizontal="center"/>
    </xf>
    <xf numFmtId="0" fontId="61" fillId="0" borderId="35" xfId="52" applyNumberFormat="1" applyFill="1" applyBorder="1" applyAlignment="1">
      <alignment horizontal="center"/>
    </xf>
    <xf numFmtId="0" fontId="61" fillId="0" borderId="36" xfId="52" applyNumberFormat="1" applyFill="1" applyBorder="1" applyAlignment="1">
      <alignment horizontal="center"/>
    </xf>
    <xf numFmtId="0" fontId="67" fillId="0" borderId="43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center" vertical="center"/>
    </xf>
    <xf numFmtId="0" fontId="78" fillId="7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</xdr:row>
      <xdr:rowOff>171450</xdr:rowOff>
    </xdr:from>
    <xdr:to>
      <xdr:col>8</xdr:col>
      <xdr:colOff>57150</xdr:colOff>
      <xdr:row>3</xdr:row>
      <xdr:rowOff>190500</xdr:rowOff>
    </xdr:to>
    <xdr:sp>
      <xdr:nvSpPr>
        <xdr:cNvPr id="1" name="Straight Arrow Connector 2"/>
        <xdr:cNvSpPr>
          <a:spLocks/>
        </xdr:cNvSpPr>
      </xdr:nvSpPr>
      <xdr:spPr>
        <a:xfrm>
          <a:off x="4086225" y="685800"/>
          <a:ext cx="952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14</xdr:row>
      <xdr:rowOff>104775</xdr:rowOff>
    </xdr:from>
    <xdr:to>
      <xdr:col>5</xdr:col>
      <xdr:colOff>628650</xdr:colOff>
      <xdr:row>14</xdr:row>
      <xdr:rowOff>152400</xdr:rowOff>
    </xdr:to>
    <xdr:sp>
      <xdr:nvSpPr>
        <xdr:cNvPr id="1" name="Right Arrow 1"/>
        <xdr:cNvSpPr>
          <a:spLocks/>
        </xdr:cNvSpPr>
      </xdr:nvSpPr>
      <xdr:spPr>
        <a:xfrm flipV="1">
          <a:off x="4371975" y="4257675"/>
          <a:ext cx="142875" cy="47625"/>
        </a:xfrm>
        <a:prstGeom prst="rightArrow">
          <a:avLst>
            <a:gd name="adj" fmla="val 3863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ief%2089%20%281%29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lculation"/>
      <sheetName val="Table A"/>
      <sheetName val="Annx I"/>
      <sheetName val="Form 10E"/>
      <sheetName val="___relief BACK"/>
      <sheetName val="___Gr_ salary"/>
      <sheetName val="___IT calc"/>
      <sheetName val="other lin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ployeesforum1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ployeesforum1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ployeesforum1@gmail.com" TargetMode="External" /><Relationship Id="rId2" Type="http://schemas.openxmlformats.org/officeDocument/2006/relationships/hyperlink" Target="mailto:employeesforum1@gmail.com" TargetMode="External" /><Relationship Id="rId3" Type="http://schemas.openxmlformats.org/officeDocument/2006/relationships/hyperlink" Target="http://www.employeeforum.yolasite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mployeesforum1@gmail.com" TargetMode="External" /><Relationship Id="rId2" Type="http://schemas.openxmlformats.org/officeDocument/2006/relationships/hyperlink" Target="http://www.employeeforum.yolasite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3.140625" style="0" customWidth="1"/>
    <col min="2" max="2" width="1.8515625" style="0" customWidth="1"/>
    <col min="3" max="3" width="2.00390625" style="0" customWidth="1"/>
    <col min="4" max="5" width="7.8515625" style="0" customWidth="1"/>
    <col min="6" max="6" width="5.57421875" style="0" customWidth="1"/>
    <col min="7" max="7" width="6.8515625" style="0" customWidth="1"/>
    <col min="8" max="8" width="5.8515625" style="0" customWidth="1"/>
    <col min="9" max="9" width="5.28125" style="0" customWidth="1"/>
    <col min="10" max="11" width="7.28125" style="0" customWidth="1"/>
    <col min="12" max="12" width="7.140625" style="0" customWidth="1"/>
    <col min="13" max="13" width="6.8515625" style="0" customWidth="1"/>
    <col min="14" max="14" width="6.28125" style="0" customWidth="1"/>
    <col min="15" max="15" width="0.5625" style="0" customWidth="1"/>
    <col min="16" max="16" width="7.57421875" style="0" customWidth="1"/>
    <col min="17" max="17" width="10.8515625" style="0" customWidth="1"/>
    <col min="18" max="18" width="0.5625" style="0" customWidth="1"/>
  </cols>
  <sheetData>
    <row r="1" spans="1:18" ht="21" thickBot="1" thickTop="1">
      <c r="A1" s="115" t="s">
        <v>144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71"/>
      <c r="R1" s="71"/>
    </row>
    <row r="2" spans="1:16" ht="20.25" thickTop="1">
      <c r="A2" s="72">
        <v>1</v>
      </c>
      <c r="B2" s="118" t="s">
        <v>138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39.75" customHeight="1">
      <c r="A3" s="72">
        <v>2</v>
      </c>
      <c r="B3" s="119" t="s">
        <v>213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69.75" customHeight="1">
      <c r="A4" s="72">
        <v>3</v>
      </c>
      <c r="B4" s="119" t="s">
        <v>145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19.5" customHeight="1">
      <c r="A5" s="73">
        <v>4</v>
      </c>
      <c r="B5" s="114" t="s">
        <v>139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9.5" customHeight="1">
      <c r="A6" s="74">
        <v>5</v>
      </c>
      <c r="B6" s="114" t="s">
        <v>140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9.5" customHeight="1">
      <c r="A7" s="74">
        <v>6</v>
      </c>
      <c r="B7" s="114" t="s">
        <v>214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9.5" customHeight="1">
      <c r="A8" s="74">
        <v>7</v>
      </c>
      <c r="B8" s="114" t="s">
        <v>141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9.5" customHeight="1">
      <c r="A9" s="74">
        <v>8</v>
      </c>
      <c r="B9" s="114" t="s">
        <v>142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2" ht="19.5">
      <c r="A10" s="70"/>
      <c r="B10" s="70"/>
    </row>
  </sheetData>
  <sheetProtection/>
  <mergeCells count="9">
    <mergeCell ref="B6:P6"/>
    <mergeCell ref="B7:P7"/>
    <mergeCell ref="B8:P8"/>
    <mergeCell ref="B9:P9"/>
    <mergeCell ref="A1:P1"/>
    <mergeCell ref="B2:P2"/>
    <mergeCell ref="B3:P3"/>
    <mergeCell ref="B4:P4"/>
    <mergeCell ref="B5:P5"/>
  </mergeCells>
  <hyperlinks>
    <hyperlink ref="A1:P1" r:id="rId1" display="THIS CALCULATION SHEET IS COMPILED BY  employeesforum1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77"/>
  <sheetViews>
    <sheetView zoomScalePageLayoutView="0" workbookViewId="0" topLeftCell="A1">
      <selection activeCell="G8" sqref="G8:N8"/>
    </sheetView>
  </sheetViews>
  <sheetFormatPr defaultColWidth="9.140625" defaultRowHeight="15"/>
  <cols>
    <col min="1" max="1" width="0.85546875" style="0" customWidth="1"/>
    <col min="2" max="2" width="1.8515625" style="0" customWidth="1"/>
    <col min="3" max="3" width="2.00390625" style="0" customWidth="1"/>
    <col min="4" max="5" width="7.8515625" style="0" customWidth="1"/>
    <col min="6" max="6" width="5.57421875" style="0" customWidth="1"/>
    <col min="7" max="7" width="6.8515625" style="0" customWidth="1"/>
    <col min="8" max="8" width="5.8515625" style="0" customWidth="1"/>
    <col min="9" max="9" width="5.28125" style="0" customWidth="1"/>
    <col min="10" max="11" width="7.28125" style="0" customWidth="1"/>
    <col min="12" max="12" width="7.140625" style="0" customWidth="1"/>
    <col min="13" max="13" width="6.8515625" style="0" customWidth="1"/>
    <col min="14" max="14" width="6.28125" style="0" customWidth="1"/>
    <col min="15" max="15" width="0.5625" style="0" customWidth="1"/>
    <col min="16" max="16" width="7.57421875" style="0" customWidth="1"/>
    <col min="17" max="17" width="10.8515625" style="0" customWidth="1"/>
    <col min="18" max="18" width="0.5625" style="0" customWidth="1"/>
  </cols>
  <sheetData>
    <row r="1" spans="2:18" ht="23.25" thickTop="1">
      <c r="B1" s="138" t="s">
        <v>143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2:18" ht="23.25">
      <c r="B2" s="141" t="s">
        <v>49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</row>
    <row r="3" spans="2:18" ht="30" thickBot="1">
      <c r="B3" s="144" t="s">
        <v>50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6"/>
      <c r="Q3" s="146"/>
      <c r="R3" s="147"/>
    </row>
    <row r="4" spans="2:18" ht="22.5" customHeight="1" thickTop="1">
      <c r="B4" s="26">
        <v>1</v>
      </c>
      <c r="C4" s="148" t="s">
        <v>0</v>
      </c>
      <c r="D4" s="149"/>
      <c r="E4" s="149"/>
      <c r="F4" s="150"/>
      <c r="G4" s="132" t="s">
        <v>127</v>
      </c>
      <c r="H4" s="133"/>
      <c r="I4" s="133"/>
      <c r="J4" s="133"/>
      <c r="K4" s="133"/>
      <c r="L4" s="133"/>
      <c r="M4" s="133"/>
      <c r="N4" s="134"/>
      <c r="O4" s="27"/>
      <c r="P4" s="151" t="s">
        <v>51</v>
      </c>
      <c r="Q4" s="152"/>
      <c r="R4" s="153"/>
    </row>
    <row r="5" spans="2:19" ht="19.5" customHeight="1">
      <c r="B5" s="26">
        <v>2</v>
      </c>
      <c r="C5" s="126" t="s">
        <v>128</v>
      </c>
      <c r="D5" s="127"/>
      <c r="E5" s="127"/>
      <c r="F5" s="128"/>
      <c r="G5" s="195" t="s">
        <v>209</v>
      </c>
      <c r="H5" s="196"/>
      <c r="I5" s="196"/>
      <c r="J5" s="196"/>
      <c r="K5" s="196"/>
      <c r="L5" s="196"/>
      <c r="M5" s="196"/>
      <c r="N5" s="197"/>
      <c r="O5" s="27"/>
      <c r="P5" s="28" t="s">
        <v>52</v>
      </c>
      <c r="Q5" s="29" t="s">
        <v>53</v>
      </c>
      <c r="R5" s="154"/>
      <c r="S5" s="30"/>
    </row>
    <row r="6" spans="2:18" ht="19.5" customHeight="1">
      <c r="B6" s="26">
        <v>3</v>
      </c>
      <c r="C6" s="198" t="s">
        <v>2</v>
      </c>
      <c r="D6" s="199"/>
      <c r="E6" s="199"/>
      <c r="F6" s="200"/>
      <c r="G6" s="123" t="s">
        <v>210</v>
      </c>
      <c r="H6" s="124"/>
      <c r="I6" s="124"/>
      <c r="J6" s="124"/>
      <c r="K6" s="124"/>
      <c r="L6" s="124"/>
      <c r="M6" s="124"/>
      <c r="N6" s="125"/>
      <c r="O6" s="27"/>
      <c r="P6" s="31">
        <v>0</v>
      </c>
      <c r="Q6" s="32" t="s">
        <v>54</v>
      </c>
      <c r="R6" s="154"/>
    </row>
    <row r="7" spans="2:19" ht="46.5">
      <c r="B7" s="26">
        <v>4</v>
      </c>
      <c r="C7" s="126" t="s">
        <v>55</v>
      </c>
      <c r="D7" s="127"/>
      <c r="E7" s="127"/>
      <c r="F7" s="128"/>
      <c r="G7" s="132"/>
      <c r="H7" s="133"/>
      <c r="I7" s="133"/>
      <c r="J7" s="133"/>
      <c r="K7" s="133"/>
      <c r="L7" s="133"/>
      <c r="M7" s="133"/>
      <c r="N7" s="134"/>
      <c r="O7" s="27"/>
      <c r="P7" s="31">
        <v>0.02</v>
      </c>
      <c r="Q7" s="32" t="s">
        <v>56</v>
      </c>
      <c r="R7" s="154"/>
      <c r="S7" s="30"/>
    </row>
    <row r="8" spans="2:18" ht="46.5">
      <c r="B8" s="33">
        <v>5</v>
      </c>
      <c r="C8" s="129" t="s">
        <v>57</v>
      </c>
      <c r="D8" s="130"/>
      <c r="E8" s="130"/>
      <c r="F8" s="131"/>
      <c r="G8" s="132"/>
      <c r="H8" s="133"/>
      <c r="I8" s="133"/>
      <c r="J8" s="133"/>
      <c r="K8" s="133"/>
      <c r="L8" s="133"/>
      <c r="M8" s="133"/>
      <c r="N8" s="134"/>
      <c r="O8" s="34"/>
      <c r="P8" s="31">
        <v>0.06</v>
      </c>
      <c r="Q8" s="32" t="s">
        <v>58</v>
      </c>
      <c r="R8" s="154"/>
    </row>
    <row r="9" spans="2:18" ht="19.5" customHeight="1">
      <c r="B9" s="26">
        <v>6</v>
      </c>
      <c r="C9" s="135" t="s">
        <v>59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O9" s="35"/>
      <c r="P9" s="31">
        <v>0.09</v>
      </c>
      <c r="Q9" s="32" t="s">
        <v>60</v>
      </c>
      <c r="R9" s="154"/>
    </row>
    <row r="10" spans="2:18" ht="46.5">
      <c r="B10" s="36"/>
      <c r="C10" s="37" t="s">
        <v>61</v>
      </c>
      <c r="D10" s="163" t="s">
        <v>62</v>
      </c>
      <c r="E10" s="164"/>
      <c r="F10" s="135" t="s">
        <v>63</v>
      </c>
      <c r="G10" s="137"/>
      <c r="H10" s="135" t="s">
        <v>64</v>
      </c>
      <c r="I10" s="137"/>
      <c r="J10" s="165" t="s">
        <v>65</v>
      </c>
      <c r="K10" s="166"/>
      <c r="L10" s="166"/>
      <c r="M10" s="166"/>
      <c r="N10" s="167"/>
      <c r="O10" s="38"/>
      <c r="P10" s="31">
        <v>0.12</v>
      </c>
      <c r="Q10" s="32" t="s">
        <v>66</v>
      </c>
      <c r="R10" s="154"/>
    </row>
    <row r="11" spans="2:18" ht="46.5">
      <c r="B11" s="36"/>
      <c r="C11" s="39" t="s">
        <v>67</v>
      </c>
      <c r="D11" s="132"/>
      <c r="E11" s="134"/>
      <c r="F11" s="132"/>
      <c r="G11" s="134"/>
      <c r="H11" s="132"/>
      <c r="I11" s="134"/>
      <c r="J11" s="168"/>
      <c r="K11" s="169"/>
      <c r="L11" s="169"/>
      <c r="M11" s="169"/>
      <c r="N11" s="170"/>
      <c r="O11" s="38"/>
      <c r="P11" s="31">
        <v>0.16</v>
      </c>
      <c r="Q11" s="32" t="s">
        <v>68</v>
      </c>
      <c r="R11" s="154"/>
    </row>
    <row r="12" spans="2:18" ht="47.25" thickBot="1">
      <c r="B12" s="36"/>
      <c r="C12" s="39" t="s">
        <v>69</v>
      </c>
      <c r="D12" s="132"/>
      <c r="E12" s="134"/>
      <c r="F12" s="132"/>
      <c r="G12" s="134"/>
      <c r="H12" s="132"/>
      <c r="I12" s="134"/>
      <c r="J12" s="168"/>
      <c r="K12" s="169"/>
      <c r="L12" s="169"/>
      <c r="M12" s="169"/>
      <c r="N12" s="170"/>
      <c r="O12" s="38"/>
      <c r="P12" s="40">
        <v>0.22</v>
      </c>
      <c r="Q12" s="41" t="s">
        <v>70</v>
      </c>
      <c r="R12" s="154"/>
    </row>
    <row r="13" spans="2:18" ht="24" thickTop="1">
      <c r="B13" s="36"/>
      <c r="C13" s="39" t="s">
        <v>71</v>
      </c>
      <c r="D13" s="132"/>
      <c r="E13" s="134"/>
      <c r="F13" s="132"/>
      <c r="G13" s="134"/>
      <c r="H13" s="132"/>
      <c r="I13" s="134"/>
      <c r="J13" s="155" t="s">
        <v>72</v>
      </c>
      <c r="K13" s="156"/>
      <c r="L13" s="156"/>
      <c r="M13" s="156"/>
      <c r="N13" s="157"/>
      <c r="O13" s="38"/>
      <c r="P13" s="161"/>
      <c r="Q13" s="161"/>
      <c r="R13" s="154"/>
    </row>
    <row r="14" spans="2:18" ht="23.25">
      <c r="B14" s="36"/>
      <c r="C14" s="39" t="s">
        <v>73</v>
      </c>
      <c r="D14" s="132"/>
      <c r="E14" s="134"/>
      <c r="F14" s="132"/>
      <c r="G14" s="134"/>
      <c r="H14" s="132"/>
      <c r="I14" s="134"/>
      <c r="J14" s="158"/>
      <c r="K14" s="159"/>
      <c r="L14" s="159"/>
      <c r="M14" s="159"/>
      <c r="N14" s="160"/>
      <c r="O14" s="42"/>
      <c r="P14" s="162"/>
      <c r="Q14" s="162"/>
      <c r="R14" s="154"/>
    </row>
    <row r="15" spans="2:18" ht="23.25">
      <c r="B15" s="175" t="s">
        <v>74</v>
      </c>
      <c r="C15" s="176"/>
      <c r="D15" s="179" t="s">
        <v>75</v>
      </c>
      <c r="E15" s="135" t="s">
        <v>76</v>
      </c>
      <c r="F15" s="137"/>
      <c r="G15" s="135" t="s">
        <v>77</v>
      </c>
      <c r="H15" s="136"/>
      <c r="I15" s="136"/>
      <c r="J15" s="136"/>
      <c r="K15" s="137"/>
      <c r="L15" s="135" t="s">
        <v>78</v>
      </c>
      <c r="M15" s="136"/>
      <c r="N15" s="137"/>
      <c r="O15" s="43"/>
      <c r="P15" s="179" t="s">
        <v>79</v>
      </c>
      <c r="Q15" s="173" t="s">
        <v>80</v>
      </c>
      <c r="R15" s="154"/>
    </row>
    <row r="16" spans="2:18" ht="46.5">
      <c r="B16" s="177"/>
      <c r="C16" s="178"/>
      <c r="D16" s="180"/>
      <c r="E16" s="43" t="s">
        <v>81</v>
      </c>
      <c r="F16" s="43" t="s">
        <v>82</v>
      </c>
      <c r="G16" s="43" t="s">
        <v>81</v>
      </c>
      <c r="H16" s="43" t="s">
        <v>83</v>
      </c>
      <c r="I16" s="43" t="s">
        <v>84</v>
      </c>
      <c r="J16" s="43" t="s">
        <v>85</v>
      </c>
      <c r="K16" s="43" t="s">
        <v>82</v>
      </c>
      <c r="L16" s="43" t="s">
        <v>81</v>
      </c>
      <c r="M16" s="43" t="s">
        <v>82</v>
      </c>
      <c r="N16" s="43" t="s">
        <v>86</v>
      </c>
      <c r="O16" s="43"/>
      <c r="P16" s="180"/>
      <c r="Q16" s="174"/>
      <c r="R16" s="154"/>
    </row>
    <row r="17" spans="2:18" ht="40.5">
      <c r="B17" s="171">
        <v>1</v>
      </c>
      <c r="C17" s="172"/>
      <c r="D17" s="44" t="s">
        <v>54</v>
      </c>
      <c r="E17" s="60">
        <v>32260</v>
      </c>
      <c r="F17" s="45">
        <f aca="true" t="shared" si="0" ref="F17:F22">ROUND(E17*0%,0)</f>
        <v>0</v>
      </c>
      <c r="G17" s="60">
        <v>12375</v>
      </c>
      <c r="H17" s="45">
        <f>ROUND(G17*50%,0)</f>
        <v>6188</v>
      </c>
      <c r="I17" s="45">
        <v>0</v>
      </c>
      <c r="J17" s="45">
        <f>G17+H17+I17</f>
        <v>18563</v>
      </c>
      <c r="K17" s="45">
        <f aca="true" t="shared" si="1" ref="K17:K22">ROUND(J17*24%,0)</f>
        <v>4455</v>
      </c>
      <c r="L17" s="45">
        <f>E17-J17</f>
        <v>13697</v>
      </c>
      <c r="M17" s="45">
        <f>F17-K17</f>
        <v>-4455</v>
      </c>
      <c r="N17" s="45">
        <f>L17+M17</f>
        <v>9242</v>
      </c>
      <c r="O17" s="45"/>
      <c r="P17" s="45">
        <v>1</v>
      </c>
      <c r="Q17" s="45">
        <f>N17*P17</f>
        <v>9242</v>
      </c>
      <c r="R17" s="154"/>
    </row>
    <row r="18" spans="2:18" ht="40.5">
      <c r="B18" s="171">
        <v>2</v>
      </c>
      <c r="C18" s="172"/>
      <c r="D18" s="44" t="s">
        <v>87</v>
      </c>
      <c r="E18" s="60">
        <v>32260</v>
      </c>
      <c r="F18" s="45">
        <f t="shared" si="0"/>
        <v>0</v>
      </c>
      <c r="G18" s="60">
        <v>12375</v>
      </c>
      <c r="H18" s="45">
        <f aca="true" t="shared" si="2" ref="H18:H59">ROUND(G18*50%,0)</f>
        <v>6188</v>
      </c>
      <c r="I18" s="45">
        <v>0</v>
      </c>
      <c r="J18" s="45">
        <f aca="true" t="shared" si="3" ref="J18:J59">G18+H18+I18</f>
        <v>18563</v>
      </c>
      <c r="K18" s="45">
        <f t="shared" si="1"/>
        <v>4455</v>
      </c>
      <c r="L18" s="45">
        <f aca="true" t="shared" si="4" ref="L18:M59">E18-J18</f>
        <v>13697</v>
      </c>
      <c r="M18" s="45">
        <f t="shared" si="4"/>
        <v>-4455</v>
      </c>
      <c r="N18" s="45">
        <f aca="true" t="shared" si="5" ref="N18:N59">L18+M18</f>
        <v>9242</v>
      </c>
      <c r="O18" s="45"/>
      <c r="P18" s="45">
        <v>1</v>
      </c>
      <c r="Q18" s="45">
        <f aca="true" t="shared" si="6" ref="Q18:Q59">N18*P18</f>
        <v>9242</v>
      </c>
      <c r="R18" s="154"/>
    </row>
    <row r="19" spans="2:18" ht="40.5">
      <c r="B19" s="171">
        <v>3</v>
      </c>
      <c r="C19" s="172"/>
      <c r="D19" s="44" t="s">
        <v>88</v>
      </c>
      <c r="E19" s="60">
        <v>32260</v>
      </c>
      <c r="F19" s="45">
        <f t="shared" si="0"/>
        <v>0</v>
      </c>
      <c r="G19" s="60">
        <v>12375</v>
      </c>
      <c r="H19" s="45">
        <f t="shared" si="2"/>
        <v>6188</v>
      </c>
      <c r="I19" s="45">
        <v>0</v>
      </c>
      <c r="J19" s="45">
        <f t="shared" si="3"/>
        <v>18563</v>
      </c>
      <c r="K19" s="45">
        <f t="shared" si="1"/>
        <v>4455</v>
      </c>
      <c r="L19" s="45">
        <f t="shared" si="4"/>
        <v>13697</v>
      </c>
      <c r="M19" s="45">
        <f t="shared" si="4"/>
        <v>-4455</v>
      </c>
      <c r="N19" s="45">
        <f t="shared" si="5"/>
        <v>9242</v>
      </c>
      <c r="O19" s="45"/>
      <c r="P19" s="45">
        <v>1</v>
      </c>
      <c r="Q19" s="45">
        <f t="shared" si="6"/>
        <v>9242</v>
      </c>
      <c r="R19" s="154"/>
    </row>
    <row r="20" spans="2:18" ht="40.5">
      <c r="B20" s="171">
        <v>4</v>
      </c>
      <c r="C20" s="172"/>
      <c r="D20" s="44" t="s">
        <v>89</v>
      </c>
      <c r="E20" s="60">
        <v>32260</v>
      </c>
      <c r="F20" s="45">
        <f t="shared" si="0"/>
        <v>0</v>
      </c>
      <c r="G20" s="60">
        <v>12375</v>
      </c>
      <c r="H20" s="45">
        <f t="shared" si="2"/>
        <v>6188</v>
      </c>
      <c r="I20" s="45">
        <v>0</v>
      </c>
      <c r="J20" s="45">
        <f t="shared" si="3"/>
        <v>18563</v>
      </c>
      <c r="K20" s="45">
        <f t="shared" si="1"/>
        <v>4455</v>
      </c>
      <c r="L20" s="45">
        <f t="shared" si="4"/>
        <v>13697</v>
      </c>
      <c r="M20" s="45">
        <f t="shared" si="4"/>
        <v>-4455</v>
      </c>
      <c r="N20" s="45">
        <f t="shared" si="5"/>
        <v>9242</v>
      </c>
      <c r="O20" s="45"/>
      <c r="P20" s="45">
        <v>1</v>
      </c>
      <c r="Q20" s="45">
        <f t="shared" si="6"/>
        <v>9242</v>
      </c>
      <c r="R20" s="154"/>
    </row>
    <row r="21" spans="2:18" ht="40.5">
      <c r="B21" s="171">
        <v>5</v>
      </c>
      <c r="C21" s="172"/>
      <c r="D21" s="44" t="s">
        <v>90</v>
      </c>
      <c r="E21" s="60">
        <v>32260</v>
      </c>
      <c r="F21" s="45">
        <f t="shared" si="0"/>
        <v>0</v>
      </c>
      <c r="G21" s="60">
        <v>12375</v>
      </c>
      <c r="H21" s="45">
        <f t="shared" si="2"/>
        <v>6188</v>
      </c>
      <c r="I21" s="45">
        <v>0</v>
      </c>
      <c r="J21" s="45">
        <f t="shared" si="3"/>
        <v>18563</v>
      </c>
      <c r="K21" s="45">
        <f t="shared" si="1"/>
        <v>4455</v>
      </c>
      <c r="L21" s="45">
        <f t="shared" si="4"/>
        <v>13697</v>
      </c>
      <c r="M21" s="45">
        <f t="shared" si="4"/>
        <v>-4455</v>
      </c>
      <c r="N21" s="45">
        <f t="shared" si="5"/>
        <v>9242</v>
      </c>
      <c r="O21" s="45"/>
      <c r="P21" s="45">
        <v>1</v>
      </c>
      <c r="Q21" s="45">
        <f t="shared" si="6"/>
        <v>9242</v>
      </c>
      <c r="R21" s="154"/>
    </row>
    <row r="22" spans="2:18" ht="40.5">
      <c r="B22" s="171">
        <v>6</v>
      </c>
      <c r="C22" s="172"/>
      <c r="D22" s="44" t="s">
        <v>91</v>
      </c>
      <c r="E22" s="60">
        <v>32260</v>
      </c>
      <c r="F22" s="45">
        <f t="shared" si="0"/>
        <v>0</v>
      </c>
      <c r="G22" s="60">
        <v>12375</v>
      </c>
      <c r="H22" s="45">
        <f t="shared" si="2"/>
        <v>6188</v>
      </c>
      <c r="I22" s="45">
        <v>0</v>
      </c>
      <c r="J22" s="45">
        <f t="shared" si="3"/>
        <v>18563</v>
      </c>
      <c r="K22" s="45">
        <f t="shared" si="1"/>
        <v>4455</v>
      </c>
      <c r="L22" s="45">
        <f t="shared" si="4"/>
        <v>13697</v>
      </c>
      <c r="M22" s="45">
        <f t="shared" si="4"/>
        <v>-4455</v>
      </c>
      <c r="N22" s="45">
        <f t="shared" si="5"/>
        <v>9242</v>
      </c>
      <c r="O22" s="45"/>
      <c r="P22" s="45">
        <v>1</v>
      </c>
      <c r="Q22" s="45">
        <f t="shared" si="6"/>
        <v>9242</v>
      </c>
      <c r="R22" s="154"/>
    </row>
    <row r="23" spans="2:18" ht="40.5">
      <c r="B23" s="171">
        <v>7</v>
      </c>
      <c r="C23" s="172"/>
      <c r="D23" s="44" t="s">
        <v>56</v>
      </c>
      <c r="E23" s="60">
        <v>32260</v>
      </c>
      <c r="F23" s="45">
        <f aca="true" t="shared" si="7" ref="F23:F28">ROUND(E23*2%,0)</f>
        <v>645</v>
      </c>
      <c r="G23" s="60">
        <v>12375</v>
      </c>
      <c r="H23" s="45">
        <f t="shared" si="2"/>
        <v>6188</v>
      </c>
      <c r="I23" s="45">
        <v>0</v>
      </c>
      <c r="J23" s="45">
        <f t="shared" si="3"/>
        <v>18563</v>
      </c>
      <c r="K23" s="45">
        <f aca="true" t="shared" si="8" ref="K23:K28">ROUND(J23*29%,0)</f>
        <v>5383</v>
      </c>
      <c r="L23" s="45">
        <f t="shared" si="4"/>
        <v>13697</v>
      </c>
      <c r="M23" s="45">
        <f t="shared" si="4"/>
        <v>-4738</v>
      </c>
      <c r="N23" s="45">
        <f t="shared" si="5"/>
        <v>8959</v>
      </c>
      <c r="O23" s="45"/>
      <c r="P23" s="45">
        <v>1</v>
      </c>
      <c r="Q23" s="45">
        <f t="shared" si="6"/>
        <v>8959</v>
      </c>
      <c r="R23" s="154"/>
    </row>
    <row r="24" spans="2:18" ht="40.5">
      <c r="B24" s="171">
        <v>8</v>
      </c>
      <c r="C24" s="172"/>
      <c r="D24" s="44" t="s">
        <v>92</v>
      </c>
      <c r="E24" s="60">
        <v>32260</v>
      </c>
      <c r="F24" s="45">
        <f t="shared" si="7"/>
        <v>645</v>
      </c>
      <c r="G24" s="60">
        <v>12375</v>
      </c>
      <c r="H24" s="45">
        <f t="shared" si="2"/>
        <v>6188</v>
      </c>
      <c r="I24" s="45">
        <v>0</v>
      </c>
      <c r="J24" s="45">
        <f t="shared" si="3"/>
        <v>18563</v>
      </c>
      <c r="K24" s="45">
        <f t="shared" si="8"/>
        <v>5383</v>
      </c>
      <c r="L24" s="45">
        <f t="shared" si="4"/>
        <v>13697</v>
      </c>
      <c r="M24" s="45">
        <f t="shared" si="4"/>
        <v>-4738</v>
      </c>
      <c r="N24" s="45">
        <f t="shared" si="5"/>
        <v>8959</v>
      </c>
      <c r="O24" s="45"/>
      <c r="P24" s="45">
        <v>1</v>
      </c>
      <c r="Q24" s="45">
        <f t="shared" si="6"/>
        <v>8959</v>
      </c>
      <c r="R24" s="154"/>
    </row>
    <row r="25" spans="2:18" ht="40.5">
      <c r="B25" s="171">
        <v>9</v>
      </c>
      <c r="C25" s="172"/>
      <c r="D25" s="44" t="s">
        <v>93</v>
      </c>
      <c r="E25" s="60">
        <v>32260</v>
      </c>
      <c r="F25" s="45">
        <f t="shared" si="7"/>
        <v>645</v>
      </c>
      <c r="G25" s="60">
        <v>12375</v>
      </c>
      <c r="H25" s="45">
        <f t="shared" si="2"/>
        <v>6188</v>
      </c>
      <c r="I25" s="45">
        <v>0</v>
      </c>
      <c r="J25" s="45">
        <f t="shared" si="3"/>
        <v>18563</v>
      </c>
      <c r="K25" s="45">
        <f t="shared" si="8"/>
        <v>5383</v>
      </c>
      <c r="L25" s="45">
        <f t="shared" si="4"/>
        <v>13697</v>
      </c>
      <c r="M25" s="45">
        <f t="shared" si="4"/>
        <v>-4738</v>
      </c>
      <c r="N25" s="45">
        <f t="shared" si="5"/>
        <v>8959</v>
      </c>
      <c r="O25" s="45"/>
      <c r="P25" s="45">
        <v>1</v>
      </c>
      <c r="Q25" s="45">
        <f t="shared" si="6"/>
        <v>8959</v>
      </c>
      <c r="R25" s="154"/>
    </row>
    <row r="26" spans="2:18" ht="40.5">
      <c r="B26" s="171">
        <v>10</v>
      </c>
      <c r="C26" s="172"/>
      <c r="D26" s="44" t="s">
        <v>94</v>
      </c>
      <c r="E26" s="60">
        <v>32260</v>
      </c>
      <c r="F26" s="45">
        <f t="shared" si="7"/>
        <v>645</v>
      </c>
      <c r="G26" s="60">
        <v>12375</v>
      </c>
      <c r="H26" s="45">
        <f t="shared" si="2"/>
        <v>6188</v>
      </c>
      <c r="I26" s="45">
        <v>0</v>
      </c>
      <c r="J26" s="45">
        <f>G26+H26+I26</f>
        <v>18563</v>
      </c>
      <c r="K26" s="45">
        <f t="shared" si="8"/>
        <v>5383</v>
      </c>
      <c r="L26" s="45">
        <f t="shared" si="4"/>
        <v>13697</v>
      </c>
      <c r="M26" s="45">
        <f t="shared" si="4"/>
        <v>-4738</v>
      </c>
      <c r="N26" s="45">
        <f t="shared" si="5"/>
        <v>8959</v>
      </c>
      <c r="O26" s="45"/>
      <c r="P26" s="45">
        <v>1</v>
      </c>
      <c r="Q26" s="45">
        <f t="shared" si="6"/>
        <v>8959</v>
      </c>
      <c r="R26" s="154"/>
    </row>
    <row r="27" spans="2:18" ht="40.5">
      <c r="B27" s="171">
        <v>11</v>
      </c>
      <c r="C27" s="172"/>
      <c r="D27" s="44" t="s">
        <v>95</v>
      </c>
      <c r="E27" s="60">
        <v>32260</v>
      </c>
      <c r="F27" s="45">
        <f t="shared" si="7"/>
        <v>645</v>
      </c>
      <c r="G27" s="60">
        <v>12375</v>
      </c>
      <c r="H27" s="45">
        <f t="shared" si="2"/>
        <v>6188</v>
      </c>
      <c r="I27" s="45">
        <f aca="true" t="shared" si="9" ref="I27:I59">ROUND((G27+H27)*5%,0)</f>
        <v>928</v>
      </c>
      <c r="J27" s="45">
        <f t="shared" si="3"/>
        <v>19491</v>
      </c>
      <c r="K27" s="45">
        <f t="shared" si="8"/>
        <v>5652</v>
      </c>
      <c r="L27" s="45">
        <f t="shared" si="4"/>
        <v>12769</v>
      </c>
      <c r="M27" s="45">
        <f t="shared" si="4"/>
        <v>-5007</v>
      </c>
      <c r="N27" s="45">
        <f t="shared" si="5"/>
        <v>7762</v>
      </c>
      <c r="O27" s="45"/>
      <c r="P27" s="45">
        <v>1</v>
      </c>
      <c r="Q27" s="45">
        <f t="shared" si="6"/>
        <v>7762</v>
      </c>
      <c r="R27" s="154"/>
    </row>
    <row r="28" spans="2:18" ht="40.5">
      <c r="B28" s="171">
        <v>12</v>
      </c>
      <c r="C28" s="172"/>
      <c r="D28" s="44" t="s">
        <v>96</v>
      </c>
      <c r="E28" s="60">
        <v>32260</v>
      </c>
      <c r="F28" s="45">
        <f t="shared" si="7"/>
        <v>645</v>
      </c>
      <c r="G28" s="60">
        <v>12375</v>
      </c>
      <c r="H28" s="45">
        <f>ROUND(G28*50%,0)</f>
        <v>6188</v>
      </c>
      <c r="I28" s="45">
        <f>ROUND((G28+H28)*5%,0)</f>
        <v>928</v>
      </c>
      <c r="J28" s="45">
        <f>G28+H28+I28</f>
        <v>19491</v>
      </c>
      <c r="K28" s="45">
        <f t="shared" si="8"/>
        <v>5652</v>
      </c>
      <c r="L28" s="45">
        <f t="shared" si="4"/>
        <v>12769</v>
      </c>
      <c r="M28" s="45">
        <f t="shared" si="4"/>
        <v>-5007</v>
      </c>
      <c r="N28" s="45">
        <f t="shared" si="5"/>
        <v>7762</v>
      </c>
      <c r="O28" s="45"/>
      <c r="P28" s="45">
        <v>1</v>
      </c>
      <c r="Q28" s="45">
        <f t="shared" si="6"/>
        <v>7762</v>
      </c>
      <c r="R28" s="154"/>
    </row>
    <row r="29" spans="2:18" ht="40.5">
      <c r="B29" s="171">
        <v>13</v>
      </c>
      <c r="C29" s="172"/>
      <c r="D29" s="44" t="s">
        <v>58</v>
      </c>
      <c r="E29" s="60">
        <v>33230</v>
      </c>
      <c r="F29" s="45">
        <f aca="true" t="shared" si="10" ref="F29:F34">ROUND(E29*6%,0)</f>
        <v>1994</v>
      </c>
      <c r="G29" s="60">
        <v>12750</v>
      </c>
      <c r="H29" s="45">
        <f t="shared" si="2"/>
        <v>6375</v>
      </c>
      <c r="I29" s="45">
        <f t="shared" si="9"/>
        <v>956</v>
      </c>
      <c r="J29" s="45">
        <f t="shared" si="3"/>
        <v>20081</v>
      </c>
      <c r="K29" s="45">
        <f aca="true" t="shared" si="11" ref="K29:K34">ROUND(J29*35%,0)</f>
        <v>7028</v>
      </c>
      <c r="L29" s="45">
        <f t="shared" si="4"/>
        <v>13149</v>
      </c>
      <c r="M29" s="45">
        <f t="shared" si="4"/>
        <v>-5034</v>
      </c>
      <c r="N29" s="45">
        <f t="shared" si="5"/>
        <v>8115</v>
      </c>
      <c r="O29" s="45"/>
      <c r="P29" s="45">
        <v>1</v>
      </c>
      <c r="Q29" s="45">
        <f t="shared" si="6"/>
        <v>8115</v>
      </c>
      <c r="R29" s="154"/>
    </row>
    <row r="30" spans="2:18" ht="40.5">
      <c r="B30" s="171">
        <v>14</v>
      </c>
      <c r="C30" s="172"/>
      <c r="D30" s="44" t="s">
        <v>97</v>
      </c>
      <c r="E30" s="60">
        <v>33230</v>
      </c>
      <c r="F30" s="45">
        <f t="shared" si="10"/>
        <v>1994</v>
      </c>
      <c r="G30" s="60">
        <v>12750</v>
      </c>
      <c r="H30" s="45">
        <f t="shared" si="2"/>
        <v>6375</v>
      </c>
      <c r="I30" s="45">
        <f t="shared" si="9"/>
        <v>956</v>
      </c>
      <c r="J30" s="45">
        <f t="shared" si="3"/>
        <v>20081</v>
      </c>
      <c r="K30" s="45">
        <f t="shared" si="11"/>
        <v>7028</v>
      </c>
      <c r="L30" s="45">
        <f t="shared" si="4"/>
        <v>13149</v>
      </c>
      <c r="M30" s="45">
        <f t="shared" si="4"/>
        <v>-5034</v>
      </c>
      <c r="N30" s="45">
        <f t="shared" si="5"/>
        <v>8115</v>
      </c>
      <c r="O30" s="45"/>
      <c r="P30" s="45">
        <v>1</v>
      </c>
      <c r="Q30" s="45">
        <f t="shared" si="6"/>
        <v>8115</v>
      </c>
      <c r="R30" s="154"/>
    </row>
    <row r="31" spans="2:18" ht="40.5">
      <c r="B31" s="171">
        <v>15</v>
      </c>
      <c r="C31" s="172"/>
      <c r="D31" s="44" t="s">
        <v>98</v>
      </c>
      <c r="E31" s="60">
        <v>33230</v>
      </c>
      <c r="F31" s="45">
        <f t="shared" si="10"/>
        <v>1994</v>
      </c>
      <c r="G31" s="60">
        <v>12750</v>
      </c>
      <c r="H31" s="45">
        <f t="shared" si="2"/>
        <v>6375</v>
      </c>
      <c r="I31" s="45">
        <f t="shared" si="9"/>
        <v>956</v>
      </c>
      <c r="J31" s="45">
        <f t="shared" si="3"/>
        <v>20081</v>
      </c>
      <c r="K31" s="45">
        <f t="shared" si="11"/>
        <v>7028</v>
      </c>
      <c r="L31" s="45">
        <f t="shared" si="4"/>
        <v>13149</v>
      </c>
      <c r="M31" s="45">
        <f t="shared" si="4"/>
        <v>-5034</v>
      </c>
      <c r="N31" s="45">
        <f t="shared" si="5"/>
        <v>8115</v>
      </c>
      <c r="O31" s="45"/>
      <c r="P31" s="45">
        <v>1</v>
      </c>
      <c r="Q31" s="45">
        <f t="shared" si="6"/>
        <v>8115</v>
      </c>
      <c r="R31" s="154"/>
    </row>
    <row r="32" spans="2:18" ht="40.5">
      <c r="B32" s="171">
        <v>16</v>
      </c>
      <c r="C32" s="172"/>
      <c r="D32" s="44" t="s">
        <v>99</v>
      </c>
      <c r="E32" s="60">
        <v>33230</v>
      </c>
      <c r="F32" s="45">
        <f t="shared" si="10"/>
        <v>1994</v>
      </c>
      <c r="G32" s="60">
        <v>12750</v>
      </c>
      <c r="H32" s="45">
        <f t="shared" si="2"/>
        <v>6375</v>
      </c>
      <c r="I32" s="45">
        <f t="shared" si="9"/>
        <v>956</v>
      </c>
      <c r="J32" s="45">
        <f t="shared" si="3"/>
        <v>20081</v>
      </c>
      <c r="K32" s="45">
        <f t="shared" si="11"/>
        <v>7028</v>
      </c>
      <c r="L32" s="45">
        <f t="shared" si="4"/>
        <v>13149</v>
      </c>
      <c r="M32" s="45">
        <f t="shared" si="4"/>
        <v>-5034</v>
      </c>
      <c r="N32" s="45">
        <f t="shared" si="5"/>
        <v>8115</v>
      </c>
      <c r="O32" s="45"/>
      <c r="P32" s="45">
        <v>1</v>
      </c>
      <c r="Q32" s="45">
        <f t="shared" si="6"/>
        <v>8115</v>
      </c>
      <c r="R32" s="154"/>
    </row>
    <row r="33" spans="2:18" ht="40.5">
      <c r="B33" s="171">
        <v>17</v>
      </c>
      <c r="C33" s="172"/>
      <c r="D33" s="44" t="s">
        <v>100</v>
      </c>
      <c r="E33" s="60">
        <v>33230</v>
      </c>
      <c r="F33" s="45">
        <f t="shared" si="10"/>
        <v>1994</v>
      </c>
      <c r="G33" s="60">
        <v>12750</v>
      </c>
      <c r="H33" s="45">
        <f t="shared" si="2"/>
        <v>6375</v>
      </c>
      <c r="I33" s="45">
        <f t="shared" si="9"/>
        <v>956</v>
      </c>
      <c r="J33" s="45">
        <f t="shared" si="3"/>
        <v>20081</v>
      </c>
      <c r="K33" s="45">
        <f t="shared" si="11"/>
        <v>7028</v>
      </c>
      <c r="L33" s="45">
        <f t="shared" si="4"/>
        <v>13149</v>
      </c>
      <c r="M33" s="45">
        <f>F33-K33</f>
        <v>-5034</v>
      </c>
      <c r="N33" s="45">
        <f t="shared" si="5"/>
        <v>8115</v>
      </c>
      <c r="O33" s="45"/>
      <c r="P33" s="45">
        <v>1</v>
      </c>
      <c r="Q33" s="45">
        <f t="shared" si="6"/>
        <v>8115</v>
      </c>
      <c r="R33" s="154"/>
    </row>
    <row r="34" spans="2:18" ht="40.5">
      <c r="B34" s="171">
        <v>18</v>
      </c>
      <c r="C34" s="172"/>
      <c r="D34" s="44" t="s">
        <v>101</v>
      </c>
      <c r="E34" s="60">
        <v>33230</v>
      </c>
      <c r="F34" s="45">
        <f t="shared" si="10"/>
        <v>1994</v>
      </c>
      <c r="G34" s="60">
        <v>12750</v>
      </c>
      <c r="H34" s="45">
        <f t="shared" si="2"/>
        <v>6375</v>
      </c>
      <c r="I34" s="45">
        <f t="shared" si="9"/>
        <v>956</v>
      </c>
      <c r="J34" s="45">
        <f t="shared" si="3"/>
        <v>20081</v>
      </c>
      <c r="K34" s="45">
        <f t="shared" si="11"/>
        <v>7028</v>
      </c>
      <c r="L34" s="45">
        <f t="shared" si="4"/>
        <v>13149</v>
      </c>
      <c r="M34" s="45">
        <f t="shared" si="4"/>
        <v>-5034</v>
      </c>
      <c r="N34" s="45">
        <f t="shared" si="5"/>
        <v>8115</v>
      </c>
      <c r="O34" s="45"/>
      <c r="P34" s="45">
        <v>1</v>
      </c>
      <c r="Q34" s="45">
        <f t="shared" si="6"/>
        <v>8115</v>
      </c>
      <c r="R34" s="154"/>
    </row>
    <row r="35" spans="2:18" ht="40.5">
      <c r="B35" s="171">
        <v>19</v>
      </c>
      <c r="C35" s="172"/>
      <c r="D35" s="44" t="s">
        <v>60</v>
      </c>
      <c r="E35" s="60">
        <v>33230</v>
      </c>
      <c r="F35" s="45">
        <f aca="true" t="shared" si="12" ref="F35:F40">ROUND(E35*9%,0)</f>
        <v>2991</v>
      </c>
      <c r="G35" s="60">
        <v>12750</v>
      </c>
      <c r="H35" s="45">
        <f t="shared" si="2"/>
        <v>6375</v>
      </c>
      <c r="I35" s="45">
        <f t="shared" si="9"/>
        <v>956</v>
      </c>
      <c r="J35" s="45">
        <f t="shared" si="3"/>
        <v>20081</v>
      </c>
      <c r="K35" s="45">
        <f aca="true" t="shared" si="13" ref="K35:K40">ROUND(J35*41%,0)</f>
        <v>8233</v>
      </c>
      <c r="L35" s="45">
        <f t="shared" si="4"/>
        <v>13149</v>
      </c>
      <c r="M35" s="45">
        <f t="shared" si="4"/>
        <v>-5242</v>
      </c>
      <c r="N35" s="45">
        <f t="shared" si="5"/>
        <v>7907</v>
      </c>
      <c r="O35" s="45"/>
      <c r="P35" s="45">
        <v>1</v>
      </c>
      <c r="Q35" s="45">
        <f t="shared" si="6"/>
        <v>7907</v>
      </c>
      <c r="R35" s="154"/>
    </row>
    <row r="36" spans="2:18" ht="40.5">
      <c r="B36" s="171">
        <v>20</v>
      </c>
      <c r="C36" s="172"/>
      <c r="D36" s="44" t="s">
        <v>102</v>
      </c>
      <c r="E36" s="60">
        <v>33230</v>
      </c>
      <c r="F36" s="45">
        <f t="shared" si="12"/>
        <v>2991</v>
      </c>
      <c r="G36" s="60">
        <v>12750</v>
      </c>
      <c r="H36" s="45">
        <f t="shared" si="2"/>
        <v>6375</v>
      </c>
      <c r="I36" s="45">
        <f t="shared" si="9"/>
        <v>956</v>
      </c>
      <c r="J36" s="45">
        <f t="shared" si="3"/>
        <v>20081</v>
      </c>
      <c r="K36" s="45">
        <f t="shared" si="13"/>
        <v>8233</v>
      </c>
      <c r="L36" s="45">
        <f t="shared" si="4"/>
        <v>13149</v>
      </c>
      <c r="M36" s="45">
        <f t="shared" si="4"/>
        <v>-5242</v>
      </c>
      <c r="N36" s="45">
        <f t="shared" si="5"/>
        <v>7907</v>
      </c>
      <c r="O36" s="45"/>
      <c r="P36" s="45">
        <v>1</v>
      </c>
      <c r="Q36" s="45">
        <f t="shared" si="6"/>
        <v>7907</v>
      </c>
      <c r="R36" s="154"/>
    </row>
    <row r="37" spans="2:18" ht="40.5">
      <c r="B37" s="171">
        <v>21</v>
      </c>
      <c r="C37" s="172"/>
      <c r="D37" s="44" t="s">
        <v>103</v>
      </c>
      <c r="E37" s="60">
        <v>33230</v>
      </c>
      <c r="F37" s="45">
        <f t="shared" si="12"/>
        <v>2991</v>
      </c>
      <c r="G37" s="60">
        <v>12750</v>
      </c>
      <c r="H37" s="45">
        <f t="shared" si="2"/>
        <v>6375</v>
      </c>
      <c r="I37" s="45">
        <f t="shared" si="9"/>
        <v>956</v>
      </c>
      <c r="J37" s="45">
        <f t="shared" si="3"/>
        <v>20081</v>
      </c>
      <c r="K37" s="45">
        <f t="shared" si="13"/>
        <v>8233</v>
      </c>
      <c r="L37" s="45">
        <f t="shared" si="4"/>
        <v>13149</v>
      </c>
      <c r="M37" s="45">
        <f t="shared" si="4"/>
        <v>-5242</v>
      </c>
      <c r="N37" s="45">
        <f t="shared" si="5"/>
        <v>7907</v>
      </c>
      <c r="O37" s="45"/>
      <c r="P37" s="45">
        <v>1</v>
      </c>
      <c r="Q37" s="45">
        <f t="shared" si="6"/>
        <v>7907</v>
      </c>
      <c r="R37" s="154"/>
    </row>
    <row r="38" spans="2:18" ht="40.5">
      <c r="B38" s="171">
        <v>22</v>
      </c>
      <c r="C38" s="172"/>
      <c r="D38" s="44" t="s">
        <v>104</v>
      </c>
      <c r="E38" s="60">
        <v>33230</v>
      </c>
      <c r="F38" s="45">
        <f t="shared" si="12"/>
        <v>2991</v>
      </c>
      <c r="G38" s="60">
        <v>12750</v>
      </c>
      <c r="H38" s="45">
        <f t="shared" si="2"/>
        <v>6375</v>
      </c>
      <c r="I38" s="45">
        <f t="shared" si="9"/>
        <v>956</v>
      </c>
      <c r="J38" s="45">
        <f t="shared" si="3"/>
        <v>20081</v>
      </c>
      <c r="K38" s="45">
        <f t="shared" si="13"/>
        <v>8233</v>
      </c>
      <c r="L38" s="45">
        <f t="shared" si="4"/>
        <v>13149</v>
      </c>
      <c r="M38" s="45">
        <f t="shared" si="4"/>
        <v>-5242</v>
      </c>
      <c r="N38" s="45">
        <f>L38+M38</f>
        <v>7907</v>
      </c>
      <c r="O38" s="45"/>
      <c r="P38" s="45">
        <v>1</v>
      </c>
      <c r="Q38" s="45">
        <f t="shared" si="6"/>
        <v>7907</v>
      </c>
      <c r="R38" s="154"/>
    </row>
    <row r="39" spans="2:18" ht="40.5">
      <c r="B39" s="171">
        <v>23</v>
      </c>
      <c r="C39" s="172"/>
      <c r="D39" s="44" t="s">
        <v>105</v>
      </c>
      <c r="E39" s="60">
        <v>33230</v>
      </c>
      <c r="F39" s="45">
        <f t="shared" si="12"/>
        <v>2991</v>
      </c>
      <c r="G39" s="60">
        <v>12750</v>
      </c>
      <c r="H39" s="45">
        <f t="shared" si="2"/>
        <v>6375</v>
      </c>
      <c r="I39" s="45">
        <f t="shared" si="9"/>
        <v>956</v>
      </c>
      <c r="J39" s="45">
        <f t="shared" si="3"/>
        <v>20081</v>
      </c>
      <c r="K39" s="45">
        <f t="shared" si="13"/>
        <v>8233</v>
      </c>
      <c r="L39" s="45">
        <f t="shared" si="4"/>
        <v>13149</v>
      </c>
      <c r="M39" s="45">
        <f t="shared" si="4"/>
        <v>-5242</v>
      </c>
      <c r="N39" s="45">
        <f t="shared" si="5"/>
        <v>7907</v>
      </c>
      <c r="O39" s="45"/>
      <c r="P39" s="45">
        <v>1</v>
      </c>
      <c r="Q39" s="45">
        <f t="shared" si="6"/>
        <v>7907</v>
      </c>
      <c r="R39" s="154"/>
    </row>
    <row r="40" spans="2:18" ht="40.5">
      <c r="B40" s="171">
        <v>24</v>
      </c>
      <c r="C40" s="172"/>
      <c r="D40" s="44" t="s">
        <v>106</v>
      </c>
      <c r="E40" s="60">
        <v>33230</v>
      </c>
      <c r="F40" s="45">
        <f t="shared" si="12"/>
        <v>2991</v>
      </c>
      <c r="G40" s="60">
        <v>12750</v>
      </c>
      <c r="H40" s="45">
        <f t="shared" si="2"/>
        <v>6375</v>
      </c>
      <c r="I40" s="45">
        <f t="shared" si="9"/>
        <v>956</v>
      </c>
      <c r="J40" s="45">
        <f t="shared" si="3"/>
        <v>20081</v>
      </c>
      <c r="K40" s="45">
        <f t="shared" si="13"/>
        <v>8233</v>
      </c>
      <c r="L40" s="45">
        <f t="shared" si="4"/>
        <v>13149</v>
      </c>
      <c r="M40" s="45">
        <f t="shared" si="4"/>
        <v>-5242</v>
      </c>
      <c r="N40" s="45">
        <f t="shared" si="5"/>
        <v>7907</v>
      </c>
      <c r="O40" s="45"/>
      <c r="P40" s="45">
        <v>1</v>
      </c>
      <c r="Q40" s="45">
        <f t="shared" si="6"/>
        <v>7907</v>
      </c>
      <c r="R40" s="154"/>
    </row>
    <row r="41" spans="2:18" ht="40.5">
      <c r="B41" s="171">
        <v>25</v>
      </c>
      <c r="C41" s="172"/>
      <c r="D41" s="44" t="s">
        <v>66</v>
      </c>
      <c r="E41" s="60">
        <v>34230</v>
      </c>
      <c r="F41" s="45">
        <f aca="true" t="shared" si="14" ref="F41:F46">ROUND(E41*12%,0)</f>
        <v>4108</v>
      </c>
      <c r="G41" s="60">
        <v>13125</v>
      </c>
      <c r="H41" s="45">
        <f t="shared" si="2"/>
        <v>6563</v>
      </c>
      <c r="I41" s="45">
        <f t="shared" si="9"/>
        <v>984</v>
      </c>
      <c r="J41" s="45">
        <f t="shared" si="3"/>
        <v>20672</v>
      </c>
      <c r="K41" s="45">
        <f aca="true" t="shared" si="15" ref="K41:K46">ROUND(J41*47%,0)</f>
        <v>9716</v>
      </c>
      <c r="L41" s="45">
        <f t="shared" si="4"/>
        <v>13558</v>
      </c>
      <c r="M41" s="45">
        <f t="shared" si="4"/>
        <v>-5608</v>
      </c>
      <c r="N41" s="45">
        <f t="shared" si="5"/>
        <v>7950</v>
      </c>
      <c r="O41" s="45"/>
      <c r="P41" s="45">
        <v>1</v>
      </c>
      <c r="Q41" s="45">
        <f t="shared" si="6"/>
        <v>7950</v>
      </c>
      <c r="R41" s="154"/>
    </row>
    <row r="42" spans="2:18" ht="40.5">
      <c r="B42" s="171">
        <v>26</v>
      </c>
      <c r="C42" s="172"/>
      <c r="D42" s="44" t="s">
        <v>107</v>
      </c>
      <c r="E42" s="60">
        <v>34230</v>
      </c>
      <c r="F42" s="45">
        <f t="shared" si="14"/>
        <v>4108</v>
      </c>
      <c r="G42" s="60">
        <v>13125</v>
      </c>
      <c r="H42" s="45">
        <f t="shared" si="2"/>
        <v>6563</v>
      </c>
      <c r="I42" s="45">
        <f t="shared" si="9"/>
        <v>984</v>
      </c>
      <c r="J42" s="45">
        <f t="shared" si="3"/>
        <v>20672</v>
      </c>
      <c r="K42" s="45">
        <f t="shared" si="15"/>
        <v>9716</v>
      </c>
      <c r="L42" s="45">
        <f t="shared" si="4"/>
        <v>13558</v>
      </c>
      <c r="M42" s="45">
        <f t="shared" si="4"/>
        <v>-5608</v>
      </c>
      <c r="N42" s="45">
        <f t="shared" si="5"/>
        <v>7950</v>
      </c>
      <c r="O42" s="45"/>
      <c r="P42" s="45">
        <v>1</v>
      </c>
      <c r="Q42" s="45">
        <f t="shared" si="6"/>
        <v>7950</v>
      </c>
      <c r="R42" s="154"/>
    </row>
    <row r="43" spans="2:18" ht="40.5">
      <c r="B43" s="171">
        <v>27</v>
      </c>
      <c r="C43" s="172"/>
      <c r="D43" s="44" t="s">
        <v>108</v>
      </c>
      <c r="E43" s="60">
        <v>34230</v>
      </c>
      <c r="F43" s="45">
        <f t="shared" si="14"/>
        <v>4108</v>
      </c>
      <c r="G43" s="60">
        <v>13125</v>
      </c>
      <c r="H43" s="45">
        <f t="shared" si="2"/>
        <v>6563</v>
      </c>
      <c r="I43" s="45">
        <f t="shared" si="9"/>
        <v>984</v>
      </c>
      <c r="J43" s="45">
        <f t="shared" si="3"/>
        <v>20672</v>
      </c>
      <c r="K43" s="45">
        <f t="shared" si="15"/>
        <v>9716</v>
      </c>
      <c r="L43" s="45">
        <f t="shared" si="4"/>
        <v>13558</v>
      </c>
      <c r="M43" s="45">
        <f t="shared" si="4"/>
        <v>-5608</v>
      </c>
      <c r="N43" s="45">
        <f t="shared" si="5"/>
        <v>7950</v>
      </c>
      <c r="O43" s="45"/>
      <c r="P43" s="45">
        <v>1</v>
      </c>
      <c r="Q43" s="45">
        <f>N43*P43</f>
        <v>7950</v>
      </c>
      <c r="R43" s="154"/>
    </row>
    <row r="44" spans="2:18" ht="40.5">
      <c r="B44" s="171">
        <v>28</v>
      </c>
      <c r="C44" s="172"/>
      <c r="D44" s="44" t="s">
        <v>109</v>
      </c>
      <c r="E44" s="60">
        <v>34230</v>
      </c>
      <c r="F44" s="45">
        <f t="shared" si="14"/>
        <v>4108</v>
      </c>
      <c r="G44" s="60">
        <v>13125</v>
      </c>
      <c r="H44" s="45">
        <f t="shared" si="2"/>
        <v>6563</v>
      </c>
      <c r="I44" s="45">
        <f t="shared" si="9"/>
        <v>984</v>
      </c>
      <c r="J44" s="45">
        <f t="shared" si="3"/>
        <v>20672</v>
      </c>
      <c r="K44" s="45">
        <f t="shared" si="15"/>
        <v>9716</v>
      </c>
      <c r="L44" s="45">
        <f t="shared" si="4"/>
        <v>13558</v>
      </c>
      <c r="M44" s="45">
        <f t="shared" si="4"/>
        <v>-5608</v>
      </c>
      <c r="N44" s="45">
        <f t="shared" si="5"/>
        <v>7950</v>
      </c>
      <c r="O44" s="45"/>
      <c r="P44" s="45">
        <v>1</v>
      </c>
      <c r="Q44" s="45">
        <f t="shared" si="6"/>
        <v>7950</v>
      </c>
      <c r="R44" s="154"/>
    </row>
    <row r="45" spans="2:18" ht="40.5">
      <c r="B45" s="171">
        <v>29</v>
      </c>
      <c r="C45" s="172"/>
      <c r="D45" s="44" t="s">
        <v>110</v>
      </c>
      <c r="E45" s="60">
        <v>34230</v>
      </c>
      <c r="F45" s="45">
        <f t="shared" si="14"/>
        <v>4108</v>
      </c>
      <c r="G45" s="60">
        <v>13125</v>
      </c>
      <c r="H45" s="45">
        <f t="shared" si="2"/>
        <v>6563</v>
      </c>
      <c r="I45" s="45">
        <f t="shared" si="9"/>
        <v>984</v>
      </c>
      <c r="J45" s="45">
        <f t="shared" si="3"/>
        <v>20672</v>
      </c>
      <c r="K45" s="45">
        <f t="shared" si="15"/>
        <v>9716</v>
      </c>
      <c r="L45" s="45">
        <f t="shared" si="4"/>
        <v>13558</v>
      </c>
      <c r="M45" s="45">
        <f t="shared" si="4"/>
        <v>-5608</v>
      </c>
      <c r="N45" s="45">
        <f t="shared" si="5"/>
        <v>7950</v>
      </c>
      <c r="O45" s="45"/>
      <c r="P45" s="45">
        <v>1</v>
      </c>
      <c r="Q45" s="45">
        <f t="shared" si="6"/>
        <v>7950</v>
      </c>
      <c r="R45" s="154"/>
    </row>
    <row r="46" spans="2:18" ht="40.5">
      <c r="B46" s="171">
        <v>30</v>
      </c>
      <c r="C46" s="172"/>
      <c r="D46" s="44" t="s">
        <v>111</v>
      </c>
      <c r="E46" s="60">
        <v>34230</v>
      </c>
      <c r="F46" s="45">
        <f t="shared" si="14"/>
        <v>4108</v>
      </c>
      <c r="G46" s="60">
        <v>13125</v>
      </c>
      <c r="H46" s="45">
        <f t="shared" si="2"/>
        <v>6563</v>
      </c>
      <c r="I46" s="45">
        <f t="shared" si="9"/>
        <v>984</v>
      </c>
      <c r="J46" s="45">
        <f t="shared" si="3"/>
        <v>20672</v>
      </c>
      <c r="K46" s="45">
        <f t="shared" si="15"/>
        <v>9716</v>
      </c>
      <c r="L46" s="45">
        <f t="shared" si="4"/>
        <v>13558</v>
      </c>
      <c r="M46" s="45">
        <f>F46-K46</f>
        <v>-5608</v>
      </c>
      <c r="N46" s="45">
        <f t="shared" si="5"/>
        <v>7950</v>
      </c>
      <c r="O46" s="45"/>
      <c r="P46" s="45">
        <v>1</v>
      </c>
      <c r="Q46" s="45">
        <f t="shared" si="6"/>
        <v>7950</v>
      </c>
      <c r="R46" s="154"/>
    </row>
    <row r="47" spans="2:18" ht="40.5">
      <c r="B47" s="171">
        <v>31</v>
      </c>
      <c r="C47" s="172"/>
      <c r="D47" s="44" t="s">
        <v>68</v>
      </c>
      <c r="E47" s="60">
        <v>34230</v>
      </c>
      <c r="F47" s="45">
        <f aca="true" t="shared" si="16" ref="F47:F52">ROUND(E47*16%,0)</f>
        <v>5477</v>
      </c>
      <c r="G47" s="60">
        <v>13125</v>
      </c>
      <c r="H47" s="45">
        <f t="shared" si="2"/>
        <v>6563</v>
      </c>
      <c r="I47" s="45">
        <f t="shared" si="9"/>
        <v>984</v>
      </c>
      <c r="J47" s="45">
        <f t="shared" si="3"/>
        <v>20672</v>
      </c>
      <c r="K47" s="45">
        <f aca="true" t="shared" si="17" ref="K47:K52">ROUND(J47*54%,0)</f>
        <v>11163</v>
      </c>
      <c r="L47" s="45">
        <f t="shared" si="4"/>
        <v>13558</v>
      </c>
      <c r="M47" s="45">
        <f t="shared" si="4"/>
        <v>-5686</v>
      </c>
      <c r="N47" s="45">
        <f t="shared" si="5"/>
        <v>7872</v>
      </c>
      <c r="O47" s="45"/>
      <c r="P47" s="45">
        <v>1</v>
      </c>
      <c r="Q47" s="45">
        <f t="shared" si="6"/>
        <v>7872</v>
      </c>
      <c r="R47" s="154"/>
    </row>
    <row r="48" spans="2:18" ht="40.5">
      <c r="B48" s="171">
        <v>32</v>
      </c>
      <c r="C48" s="172"/>
      <c r="D48" s="44" t="s">
        <v>112</v>
      </c>
      <c r="E48" s="60">
        <v>34230</v>
      </c>
      <c r="F48" s="45">
        <f t="shared" si="16"/>
        <v>5477</v>
      </c>
      <c r="G48" s="60">
        <v>13125</v>
      </c>
      <c r="H48" s="45">
        <f t="shared" si="2"/>
        <v>6563</v>
      </c>
      <c r="I48" s="45">
        <f t="shared" si="9"/>
        <v>984</v>
      </c>
      <c r="J48" s="45">
        <f t="shared" si="3"/>
        <v>20672</v>
      </c>
      <c r="K48" s="45">
        <f t="shared" si="17"/>
        <v>11163</v>
      </c>
      <c r="L48" s="45">
        <f t="shared" si="4"/>
        <v>13558</v>
      </c>
      <c r="M48" s="45">
        <f t="shared" si="4"/>
        <v>-5686</v>
      </c>
      <c r="N48" s="45">
        <f t="shared" si="5"/>
        <v>7872</v>
      </c>
      <c r="O48" s="45"/>
      <c r="P48" s="45">
        <v>1</v>
      </c>
      <c r="Q48" s="45">
        <f t="shared" si="6"/>
        <v>7872</v>
      </c>
      <c r="R48" s="154"/>
    </row>
    <row r="49" spans="2:18" ht="40.5">
      <c r="B49" s="171">
        <v>33</v>
      </c>
      <c r="C49" s="172"/>
      <c r="D49" s="44" t="s">
        <v>113</v>
      </c>
      <c r="E49" s="60">
        <v>34230</v>
      </c>
      <c r="F49" s="45">
        <f t="shared" si="16"/>
        <v>5477</v>
      </c>
      <c r="G49" s="60">
        <v>13125</v>
      </c>
      <c r="H49" s="45">
        <f t="shared" si="2"/>
        <v>6563</v>
      </c>
      <c r="I49" s="45">
        <f t="shared" si="9"/>
        <v>984</v>
      </c>
      <c r="J49" s="45">
        <f t="shared" si="3"/>
        <v>20672</v>
      </c>
      <c r="K49" s="45">
        <f t="shared" si="17"/>
        <v>11163</v>
      </c>
      <c r="L49" s="45">
        <f t="shared" si="4"/>
        <v>13558</v>
      </c>
      <c r="M49" s="45">
        <f t="shared" si="4"/>
        <v>-5686</v>
      </c>
      <c r="N49" s="45">
        <f t="shared" si="5"/>
        <v>7872</v>
      </c>
      <c r="O49" s="45"/>
      <c r="P49" s="45">
        <v>1</v>
      </c>
      <c r="Q49" s="45">
        <f t="shared" si="6"/>
        <v>7872</v>
      </c>
      <c r="R49" s="154"/>
    </row>
    <row r="50" spans="2:18" ht="40.5">
      <c r="B50" s="171">
        <v>34</v>
      </c>
      <c r="C50" s="172"/>
      <c r="D50" s="44" t="s">
        <v>114</v>
      </c>
      <c r="E50" s="60">
        <v>34230</v>
      </c>
      <c r="F50" s="45">
        <f t="shared" si="16"/>
        <v>5477</v>
      </c>
      <c r="G50" s="60">
        <v>13125</v>
      </c>
      <c r="H50" s="45">
        <f t="shared" si="2"/>
        <v>6563</v>
      </c>
      <c r="I50" s="45">
        <f t="shared" si="9"/>
        <v>984</v>
      </c>
      <c r="J50" s="45">
        <f t="shared" si="3"/>
        <v>20672</v>
      </c>
      <c r="K50" s="45">
        <f t="shared" si="17"/>
        <v>11163</v>
      </c>
      <c r="L50" s="45">
        <f t="shared" si="4"/>
        <v>13558</v>
      </c>
      <c r="M50" s="45">
        <f t="shared" si="4"/>
        <v>-5686</v>
      </c>
      <c r="N50" s="45">
        <f t="shared" si="5"/>
        <v>7872</v>
      </c>
      <c r="O50" s="45"/>
      <c r="P50" s="45">
        <v>1</v>
      </c>
      <c r="Q50" s="45">
        <f t="shared" si="6"/>
        <v>7872</v>
      </c>
      <c r="R50" s="154"/>
    </row>
    <row r="51" spans="2:18" ht="40.5">
      <c r="B51" s="171">
        <v>35</v>
      </c>
      <c r="C51" s="172"/>
      <c r="D51" s="44" t="s">
        <v>115</v>
      </c>
      <c r="E51" s="60">
        <v>34230</v>
      </c>
      <c r="F51" s="45">
        <f t="shared" si="16"/>
        <v>5477</v>
      </c>
      <c r="G51" s="60">
        <v>13125</v>
      </c>
      <c r="H51" s="45">
        <f t="shared" si="2"/>
        <v>6563</v>
      </c>
      <c r="I51" s="45">
        <f t="shared" si="9"/>
        <v>984</v>
      </c>
      <c r="J51" s="45">
        <f t="shared" si="3"/>
        <v>20672</v>
      </c>
      <c r="K51" s="45">
        <f t="shared" si="17"/>
        <v>11163</v>
      </c>
      <c r="L51" s="45">
        <f t="shared" si="4"/>
        <v>13558</v>
      </c>
      <c r="M51" s="45">
        <f t="shared" si="4"/>
        <v>-5686</v>
      </c>
      <c r="N51" s="45">
        <f t="shared" si="5"/>
        <v>7872</v>
      </c>
      <c r="O51" s="45"/>
      <c r="P51" s="45">
        <v>1</v>
      </c>
      <c r="Q51" s="45">
        <f t="shared" si="6"/>
        <v>7872</v>
      </c>
      <c r="R51" s="154"/>
    </row>
    <row r="52" spans="2:18" ht="40.5">
      <c r="B52" s="171">
        <v>36</v>
      </c>
      <c r="C52" s="172"/>
      <c r="D52" s="44" t="s">
        <v>116</v>
      </c>
      <c r="E52" s="60">
        <v>34230</v>
      </c>
      <c r="F52" s="45">
        <f t="shared" si="16"/>
        <v>5477</v>
      </c>
      <c r="G52" s="60">
        <v>13125</v>
      </c>
      <c r="H52" s="45">
        <f t="shared" si="2"/>
        <v>6563</v>
      </c>
      <c r="I52" s="45">
        <f t="shared" si="9"/>
        <v>984</v>
      </c>
      <c r="J52" s="45">
        <f t="shared" si="3"/>
        <v>20672</v>
      </c>
      <c r="K52" s="45">
        <f t="shared" si="17"/>
        <v>11163</v>
      </c>
      <c r="L52" s="45">
        <f t="shared" si="4"/>
        <v>13558</v>
      </c>
      <c r="M52" s="45">
        <f t="shared" si="4"/>
        <v>-5686</v>
      </c>
      <c r="N52" s="45">
        <f>L52+M52</f>
        <v>7872</v>
      </c>
      <c r="O52" s="45"/>
      <c r="P52" s="45">
        <v>1</v>
      </c>
      <c r="Q52" s="45">
        <f>N52*P52</f>
        <v>7872</v>
      </c>
      <c r="R52" s="154"/>
    </row>
    <row r="53" spans="2:18" ht="40.5">
      <c r="B53" s="171">
        <v>37</v>
      </c>
      <c r="C53" s="172"/>
      <c r="D53" s="44" t="s">
        <v>70</v>
      </c>
      <c r="E53" s="60">
        <v>35260</v>
      </c>
      <c r="F53" s="45">
        <f>ROUND(E53*22%,0)</f>
        <v>7757</v>
      </c>
      <c r="G53" s="60">
        <v>13500</v>
      </c>
      <c r="H53" s="45">
        <f t="shared" si="2"/>
        <v>6750</v>
      </c>
      <c r="I53" s="45">
        <f t="shared" si="9"/>
        <v>1013</v>
      </c>
      <c r="J53" s="45">
        <f t="shared" si="3"/>
        <v>21263</v>
      </c>
      <c r="K53" s="45">
        <f>ROUND(J53*64%,0)</f>
        <v>13608</v>
      </c>
      <c r="L53" s="45">
        <f t="shared" si="4"/>
        <v>13997</v>
      </c>
      <c r="M53" s="45">
        <f t="shared" si="4"/>
        <v>-5851</v>
      </c>
      <c r="N53" s="45">
        <f t="shared" si="5"/>
        <v>8146</v>
      </c>
      <c r="O53" s="45"/>
      <c r="P53" s="45">
        <v>1</v>
      </c>
      <c r="Q53" s="45">
        <f t="shared" si="6"/>
        <v>8146</v>
      </c>
      <c r="R53" s="154"/>
    </row>
    <row r="54" spans="2:18" ht="40.5">
      <c r="B54" s="171">
        <v>38</v>
      </c>
      <c r="C54" s="172"/>
      <c r="D54" s="44" t="s">
        <v>117</v>
      </c>
      <c r="E54" s="60">
        <v>35260</v>
      </c>
      <c r="F54" s="45">
        <f aca="true" t="shared" si="18" ref="F54:F59">ROUND(E54*22%,0)</f>
        <v>7757</v>
      </c>
      <c r="G54" s="60">
        <v>13500</v>
      </c>
      <c r="H54" s="45">
        <f t="shared" si="2"/>
        <v>6750</v>
      </c>
      <c r="I54" s="45">
        <f t="shared" si="9"/>
        <v>1013</v>
      </c>
      <c r="J54" s="45">
        <f t="shared" si="3"/>
        <v>21263</v>
      </c>
      <c r="K54" s="45">
        <f aca="true" t="shared" si="19" ref="K54:K59">ROUND(J54*64%,0)</f>
        <v>13608</v>
      </c>
      <c r="L54" s="45">
        <f t="shared" si="4"/>
        <v>13997</v>
      </c>
      <c r="M54" s="45">
        <f t="shared" si="4"/>
        <v>-5851</v>
      </c>
      <c r="N54" s="45">
        <f t="shared" si="5"/>
        <v>8146</v>
      </c>
      <c r="O54" s="45"/>
      <c r="P54" s="45">
        <v>1</v>
      </c>
      <c r="Q54" s="45">
        <f t="shared" si="6"/>
        <v>8146</v>
      </c>
      <c r="R54" s="154"/>
    </row>
    <row r="55" spans="2:18" ht="40.5">
      <c r="B55" s="171">
        <v>39</v>
      </c>
      <c r="C55" s="172"/>
      <c r="D55" s="44" t="s">
        <v>118</v>
      </c>
      <c r="E55" s="60">
        <v>35260</v>
      </c>
      <c r="F55" s="45">
        <f t="shared" si="18"/>
        <v>7757</v>
      </c>
      <c r="G55" s="60">
        <v>13500</v>
      </c>
      <c r="H55" s="45">
        <f t="shared" si="2"/>
        <v>6750</v>
      </c>
      <c r="I55" s="45">
        <f t="shared" si="9"/>
        <v>1013</v>
      </c>
      <c r="J55" s="45">
        <f t="shared" si="3"/>
        <v>21263</v>
      </c>
      <c r="K55" s="45">
        <f t="shared" si="19"/>
        <v>13608</v>
      </c>
      <c r="L55" s="45">
        <f t="shared" si="4"/>
        <v>13997</v>
      </c>
      <c r="M55" s="45">
        <f t="shared" si="4"/>
        <v>-5851</v>
      </c>
      <c r="N55" s="45">
        <f t="shared" si="5"/>
        <v>8146</v>
      </c>
      <c r="O55" s="45"/>
      <c r="P55" s="45">
        <v>1</v>
      </c>
      <c r="Q55" s="45">
        <f t="shared" si="6"/>
        <v>8146</v>
      </c>
      <c r="R55" s="154"/>
    </row>
    <row r="56" spans="2:18" ht="40.5">
      <c r="B56" s="171">
        <v>40</v>
      </c>
      <c r="C56" s="172"/>
      <c r="D56" s="44" t="s">
        <v>119</v>
      </c>
      <c r="E56" s="60">
        <v>35260</v>
      </c>
      <c r="F56" s="45">
        <f t="shared" si="18"/>
        <v>7757</v>
      </c>
      <c r="G56" s="60">
        <v>13500</v>
      </c>
      <c r="H56" s="45">
        <f t="shared" si="2"/>
        <v>6750</v>
      </c>
      <c r="I56" s="45">
        <f t="shared" si="9"/>
        <v>1013</v>
      </c>
      <c r="J56" s="45">
        <f t="shared" si="3"/>
        <v>21263</v>
      </c>
      <c r="K56" s="45">
        <f t="shared" si="19"/>
        <v>13608</v>
      </c>
      <c r="L56" s="45">
        <f t="shared" si="4"/>
        <v>13997</v>
      </c>
      <c r="M56" s="45">
        <f t="shared" si="4"/>
        <v>-5851</v>
      </c>
      <c r="N56" s="45">
        <f t="shared" si="5"/>
        <v>8146</v>
      </c>
      <c r="O56" s="45"/>
      <c r="P56" s="45">
        <v>1</v>
      </c>
      <c r="Q56" s="45">
        <f t="shared" si="6"/>
        <v>8146</v>
      </c>
      <c r="R56" s="154"/>
    </row>
    <row r="57" spans="2:18" ht="40.5">
      <c r="B57" s="171">
        <v>41</v>
      </c>
      <c r="C57" s="172"/>
      <c r="D57" s="44" t="s">
        <v>120</v>
      </c>
      <c r="E57" s="60">
        <v>35260</v>
      </c>
      <c r="F57" s="45">
        <f t="shared" si="18"/>
        <v>7757</v>
      </c>
      <c r="G57" s="60">
        <v>13500</v>
      </c>
      <c r="H57" s="45">
        <f t="shared" si="2"/>
        <v>6750</v>
      </c>
      <c r="I57" s="45">
        <f t="shared" si="9"/>
        <v>1013</v>
      </c>
      <c r="J57" s="45">
        <f t="shared" si="3"/>
        <v>21263</v>
      </c>
      <c r="K57" s="45">
        <f t="shared" si="19"/>
        <v>13608</v>
      </c>
      <c r="L57" s="45">
        <f t="shared" si="4"/>
        <v>13997</v>
      </c>
      <c r="M57" s="45">
        <f t="shared" si="4"/>
        <v>-5851</v>
      </c>
      <c r="N57" s="45">
        <f t="shared" si="5"/>
        <v>8146</v>
      </c>
      <c r="O57" s="45"/>
      <c r="P57" s="45">
        <v>1</v>
      </c>
      <c r="Q57" s="45">
        <f t="shared" si="6"/>
        <v>8146</v>
      </c>
      <c r="R57" s="154"/>
    </row>
    <row r="58" spans="2:18" ht="40.5">
      <c r="B58" s="171">
        <v>42</v>
      </c>
      <c r="C58" s="172"/>
      <c r="D58" s="44" t="s">
        <v>121</v>
      </c>
      <c r="E58" s="60">
        <v>35260</v>
      </c>
      <c r="F58" s="45">
        <f t="shared" si="18"/>
        <v>7757</v>
      </c>
      <c r="G58" s="60">
        <v>13500</v>
      </c>
      <c r="H58" s="45">
        <f t="shared" si="2"/>
        <v>6750</v>
      </c>
      <c r="I58" s="45">
        <f t="shared" si="9"/>
        <v>1013</v>
      </c>
      <c r="J58" s="45">
        <f t="shared" si="3"/>
        <v>21263</v>
      </c>
      <c r="K58" s="45">
        <f t="shared" si="19"/>
        <v>13608</v>
      </c>
      <c r="L58" s="45">
        <f t="shared" si="4"/>
        <v>13997</v>
      </c>
      <c r="M58" s="45">
        <f t="shared" si="4"/>
        <v>-5851</v>
      </c>
      <c r="N58" s="45">
        <f t="shared" si="5"/>
        <v>8146</v>
      </c>
      <c r="O58" s="45"/>
      <c r="P58" s="45">
        <v>1</v>
      </c>
      <c r="Q58" s="45">
        <f t="shared" si="6"/>
        <v>8146</v>
      </c>
      <c r="R58" s="154"/>
    </row>
    <row r="59" spans="2:18" ht="40.5">
      <c r="B59" s="171">
        <v>43</v>
      </c>
      <c r="C59" s="172"/>
      <c r="D59" s="44" t="s">
        <v>122</v>
      </c>
      <c r="E59" s="60">
        <v>35260</v>
      </c>
      <c r="F59" s="45">
        <f t="shared" si="18"/>
        <v>7757</v>
      </c>
      <c r="G59" s="60">
        <v>13500</v>
      </c>
      <c r="H59" s="45">
        <f t="shared" si="2"/>
        <v>6750</v>
      </c>
      <c r="I59" s="45">
        <f t="shared" si="9"/>
        <v>1013</v>
      </c>
      <c r="J59" s="45">
        <f t="shared" si="3"/>
        <v>21263</v>
      </c>
      <c r="K59" s="45">
        <f t="shared" si="19"/>
        <v>13608</v>
      </c>
      <c r="L59" s="45">
        <f t="shared" si="4"/>
        <v>13997</v>
      </c>
      <c r="M59" s="45">
        <f t="shared" si="4"/>
        <v>-5851</v>
      </c>
      <c r="N59" s="45">
        <f t="shared" si="5"/>
        <v>8146</v>
      </c>
      <c r="O59" s="45"/>
      <c r="P59" s="45">
        <v>1</v>
      </c>
      <c r="Q59" s="45">
        <f t="shared" si="6"/>
        <v>8146</v>
      </c>
      <c r="R59" s="154"/>
    </row>
    <row r="60" spans="2:18" ht="24" thickBot="1">
      <c r="B60" s="209">
        <v>44</v>
      </c>
      <c r="C60" s="210"/>
      <c r="D60" s="211" t="s">
        <v>123</v>
      </c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3"/>
      <c r="Q60" s="64">
        <f>SUM(Q17:Q59)</f>
        <v>354898</v>
      </c>
      <c r="R60" s="154"/>
    </row>
    <row r="61" spans="1:19" ht="3" customHeight="1" thickBot="1" thickTop="1">
      <c r="A61" s="63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  <c r="S61" s="63"/>
    </row>
    <row r="62" spans="2:19" ht="15.75" customHeight="1" thickTop="1">
      <c r="B62" s="181" t="s">
        <v>124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3"/>
      <c r="S62" s="46"/>
    </row>
    <row r="63" spans="2:18" ht="23.25" customHeight="1">
      <c r="B63" s="186">
        <v>1</v>
      </c>
      <c r="C63" s="187"/>
      <c r="D63" s="61" t="s">
        <v>104</v>
      </c>
      <c r="E63" s="60">
        <v>23180</v>
      </c>
      <c r="F63" s="61">
        <f>ROUND(E63*9%,0)</f>
        <v>2086</v>
      </c>
      <c r="G63" s="48">
        <v>9750</v>
      </c>
      <c r="H63" s="47">
        <f>ROUND(G63*50%,0)</f>
        <v>4875</v>
      </c>
      <c r="I63" s="47">
        <f>ROUND((G63+H63)*5%,0)</f>
        <v>731</v>
      </c>
      <c r="J63" s="47">
        <f>G63+H63+I63</f>
        <v>15356</v>
      </c>
      <c r="K63" s="47">
        <f>ROUND(J63*41%,0)</f>
        <v>6296</v>
      </c>
      <c r="L63" s="47">
        <f aca="true" t="shared" si="20" ref="L63:M66">E63-J63</f>
        <v>7824</v>
      </c>
      <c r="M63" s="47">
        <f t="shared" si="20"/>
        <v>-4210</v>
      </c>
      <c r="N63" s="47">
        <f>L63+M63</f>
        <v>3614</v>
      </c>
      <c r="O63" s="47"/>
      <c r="P63" s="47">
        <v>1</v>
      </c>
      <c r="Q63" s="47">
        <f>N63*P63</f>
        <v>3614</v>
      </c>
      <c r="R63" s="184"/>
    </row>
    <row r="64" spans="2:18" ht="43.5" customHeight="1">
      <c r="B64" s="186">
        <v>2</v>
      </c>
      <c r="C64" s="187"/>
      <c r="D64" s="68" t="s">
        <v>137</v>
      </c>
      <c r="E64" s="48">
        <f>ROUND(E63*10/30,0)</f>
        <v>7727</v>
      </c>
      <c r="F64" s="61">
        <f>ROUND(E64*9%,0)</f>
        <v>695</v>
      </c>
      <c r="G64" s="48">
        <f>ROUND(G63*10/30,0)</f>
        <v>3250</v>
      </c>
      <c r="H64" s="47">
        <f>ROUND(G64*50%,0)</f>
        <v>1625</v>
      </c>
      <c r="I64" s="47">
        <f>ROUND((G64+H64)*5%,0)</f>
        <v>244</v>
      </c>
      <c r="J64" s="47">
        <f>G64+H64+I64</f>
        <v>5119</v>
      </c>
      <c r="K64" s="47">
        <f>ROUND(J64*41%,0)</f>
        <v>2099</v>
      </c>
      <c r="L64" s="47">
        <f t="shared" si="20"/>
        <v>2608</v>
      </c>
      <c r="M64" s="47">
        <f t="shared" si="20"/>
        <v>-1404</v>
      </c>
      <c r="N64" s="47">
        <f>L64+M64</f>
        <v>1204</v>
      </c>
      <c r="O64" s="47"/>
      <c r="P64" s="69">
        <v>1</v>
      </c>
      <c r="Q64" s="47">
        <f>N64*P64</f>
        <v>1204</v>
      </c>
      <c r="R64" s="184"/>
    </row>
    <row r="65" spans="2:18" ht="81">
      <c r="B65" s="186">
        <v>3</v>
      </c>
      <c r="C65" s="187"/>
      <c r="D65" s="61" t="s">
        <v>125</v>
      </c>
      <c r="E65" s="48">
        <f>ROUND(E66*20/30,0)</f>
        <v>16053</v>
      </c>
      <c r="F65" s="61">
        <f>ROUND(E65*9%,0)</f>
        <v>1445</v>
      </c>
      <c r="G65" s="48">
        <f>ROUND(G66*20/30,0)</f>
        <v>6683</v>
      </c>
      <c r="H65" s="47">
        <f>ROUND(G65*50%,0)</f>
        <v>3342</v>
      </c>
      <c r="I65" s="47">
        <f>ROUND((G65+H65)*5%,0)</f>
        <v>501</v>
      </c>
      <c r="J65" s="47">
        <f>G65+H65+I65</f>
        <v>10526</v>
      </c>
      <c r="K65" s="47">
        <f>ROUND(J65*41%,0)</f>
        <v>4316</v>
      </c>
      <c r="L65" s="47">
        <f t="shared" si="20"/>
        <v>5527</v>
      </c>
      <c r="M65" s="47">
        <f t="shared" si="20"/>
        <v>-2871</v>
      </c>
      <c r="N65" s="47">
        <f>L65+M65</f>
        <v>2656</v>
      </c>
      <c r="O65" s="47"/>
      <c r="P65" s="47">
        <v>1</v>
      </c>
      <c r="Q65" s="47">
        <f>N65*P65</f>
        <v>2656</v>
      </c>
      <c r="R65" s="184"/>
    </row>
    <row r="66" spans="2:18" ht="41.25" thickBot="1">
      <c r="B66" s="204">
        <v>4</v>
      </c>
      <c r="C66" s="205"/>
      <c r="D66" s="62" t="s">
        <v>106</v>
      </c>
      <c r="E66" s="62">
        <v>24080</v>
      </c>
      <c r="F66" s="62">
        <f>ROUND(E66*9%,0)</f>
        <v>2167</v>
      </c>
      <c r="G66" s="50">
        <v>10025</v>
      </c>
      <c r="H66" s="49">
        <f>ROUND(G66*50%,0)</f>
        <v>5013</v>
      </c>
      <c r="I66" s="49">
        <f>ROUND((G66+H66)*5%,0)</f>
        <v>752</v>
      </c>
      <c r="J66" s="49">
        <f>G66+H66+I66</f>
        <v>15790</v>
      </c>
      <c r="K66" s="49">
        <f>ROUND(J66*41%,0)</f>
        <v>6474</v>
      </c>
      <c r="L66" s="49">
        <f t="shared" si="20"/>
        <v>8290</v>
      </c>
      <c r="M66" s="49">
        <f t="shared" si="20"/>
        <v>-4307</v>
      </c>
      <c r="N66" s="49">
        <f>L66+M66</f>
        <v>3983</v>
      </c>
      <c r="O66" s="49"/>
      <c r="P66" s="49">
        <v>1</v>
      </c>
      <c r="Q66" s="49">
        <f>N66*P66</f>
        <v>3983</v>
      </c>
      <c r="R66" s="185"/>
    </row>
    <row r="67" spans="2:18" ht="3" customHeight="1" thickBot="1" thickTop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2"/>
    </row>
    <row r="68" spans="2:18" ht="28.5" thickTop="1">
      <c r="B68" s="206" t="s">
        <v>135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8"/>
    </row>
    <row r="69" spans="2:18" ht="62.25" customHeight="1">
      <c r="B69" s="189" t="s">
        <v>5</v>
      </c>
      <c r="C69" s="190"/>
      <c r="D69" s="190"/>
      <c r="E69" s="190" t="s">
        <v>126</v>
      </c>
      <c r="F69" s="190"/>
      <c r="G69" s="51" t="s">
        <v>129</v>
      </c>
      <c r="H69" s="203" t="s">
        <v>136</v>
      </c>
      <c r="I69" s="203"/>
      <c r="J69" s="52" t="s">
        <v>34</v>
      </c>
      <c r="K69" s="52" t="s">
        <v>130</v>
      </c>
      <c r="L69" s="52" t="s">
        <v>134</v>
      </c>
      <c r="M69" s="192" t="s">
        <v>133</v>
      </c>
      <c r="N69" s="192"/>
      <c r="O69" s="214" t="s">
        <v>132</v>
      </c>
      <c r="P69" s="214"/>
      <c r="Q69" s="52" t="s">
        <v>131</v>
      </c>
      <c r="R69" s="53"/>
    </row>
    <row r="70" spans="2:18" ht="19.5">
      <c r="B70" s="191" t="s">
        <v>28</v>
      </c>
      <c r="C70" s="192"/>
      <c r="D70" s="192"/>
      <c r="E70" s="188"/>
      <c r="F70" s="188"/>
      <c r="G70" s="58"/>
      <c r="H70" s="192">
        <f>SUM(Q17:Q18)</f>
        <v>18484</v>
      </c>
      <c r="I70" s="192"/>
      <c r="J70" s="58"/>
      <c r="K70" s="58"/>
      <c r="L70" s="58"/>
      <c r="M70" s="188"/>
      <c r="N70" s="188"/>
      <c r="O70" s="188"/>
      <c r="P70" s="188"/>
      <c r="Q70" s="58"/>
      <c r="R70" s="54"/>
    </row>
    <row r="71" spans="2:18" ht="19.5">
      <c r="B71" s="191" t="s">
        <v>27</v>
      </c>
      <c r="C71" s="192"/>
      <c r="D71" s="192"/>
      <c r="E71" s="188"/>
      <c r="F71" s="188"/>
      <c r="G71" s="58"/>
      <c r="H71" s="192">
        <f>SUM(Q19:Q30)</f>
        <v>104558</v>
      </c>
      <c r="I71" s="192"/>
      <c r="J71" s="58"/>
      <c r="K71" s="58"/>
      <c r="L71" s="58"/>
      <c r="M71" s="188"/>
      <c r="N71" s="188"/>
      <c r="O71" s="188"/>
      <c r="P71" s="188"/>
      <c r="Q71" s="58"/>
      <c r="R71" s="54"/>
    </row>
    <row r="72" spans="2:18" ht="19.5">
      <c r="B72" s="191" t="s">
        <v>26</v>
      </c>
      <c r="C72" s="192"/>
      <c r="D72" s="192"/>
      <c r="E72" s="188"/>
      <c r="F72" s="188"/>
      <c r="G72" s="58"/>
      <c r="H72" s="192">
        <f>SUM(Q31:Q42)</f>
        <v>95802</v>
      </c>
      <c r="I72" s="192"/>
      <c r="J72" s="58"/>
      <c r="K72" s="58"/>
      <c r="L72" s="58"/>
      <c r="M72" s="188"/>
      <c r="N72" s="188"/>
      <c r="O72" s="188"/>
      <c r="P72" s="188"/>
      <c r="Q72" s="58"/>
      <c r="R72" s="54"/>
    </row>
    <row r="73" spans="2:18" ht="19.5">
      <c r="B73" s="191" t="s">
        <v>24</v>
      </c>
      <c r="C73" s="192"/>
      <c r="D73" s="192"/>
      <c r="E73" s="188"/>
      <c r="F73" s="188"/>
      <c r="G73" s="58"/>
      <c r="H73" s="192">
        <f>SUM(Q43:Q54)</f>
        <v>95324</v>
      </c>
      <c r="I73" s="192"/>
      <c r="J73" s="58"/>
      <c r="K73" s="58"/>
      <c r="L73" s="58"/>
      <c r="M73" s="188"/>
      <c r="N73" s="188"/>
      <c r="O73" s="188"/>
      <c r="P73" s="188"/>
      <c r="Q73" s="58"/>
      <c r="R73" s="54"/>
    </row>
    <row r="74" spans="2:18" ht="19.5">
      <c r="B74" s="191" t="s">
        <v>25</v>
      </c>
      <c r="C74" s="192"/>
      <c r="D74" s="192"/>
      <c r="E74" s="188"/>
      <c r="F74" s="188"/>
      <c r="G74" s="58"/>
      <c r="H74" s="192">
        <f>SUM(Q55:Q59)</f>
        <v>40730</v>
      </c>
      <c r="I74" s="192"/>
      <c r="J74" s="58"/>
      <c r="K74" s="58"/>
      <c r="L74" s="58"/>
      <c r="M74" s="188"/>
      <c r="N74" s="188"/>
      <c r="O74" s="188"/>
      <c r="P74" s="188"/>
      <c r="Q74" s="58"/>
      <c r="R74" s="54"/>
    </row>
    <row r="75" spans="2:18" ht="19.5">
      <c r="B75" s="191" t="s">
        <v>23</v>
      </c>
      <c r="C75" s="192"/>
      <c r="D75" s="192"/>
      <c r="E75" s="188"/>
      <c r="F75" s="188"/>
      <c r="G75" s="58"/>
      <c r="H75" s="192">
        <v>0</v>
      </c>
      <c r="I75" s="192"/>
      <c r="J75" s="58"/>
      <c r="K75" s="58"/>
      <c r="L75" s="58"/>
      <c r="M75" s="188"/>
      <c r="N75" s="188"/>
      <c r="O75" s="188"/>
      <c r="P75" s="188"/>
      <c r="Q75" s="58"/>
      <c r="R75" s="54"/>
    </row>
    <row r="76" spans="2:18" ht="20.25" thickBot="1">
      <c r="B76" s="202" t="s">
        <v>22</v>
      </c>
      <c r="C76" s="201"/>
      <c r="D76" s="201"/>
      <c r="E76" s="194"/>
      <c r="F76" s="194"/>
      <c r="G76" s="59"/>
      <c r="H76" s="201">
        <v>0</v>
      </c>
      <c r="I76" s="201"/>
      <c r="J76" s="59"/>
      <c r="K76" s="59"/>
      <c r="L76" s="59"/>
      <c r="M76" s="194"/>
      <c r="N76" s="194"/>
      <c r="O76" s="194"/>
      <c r="P76" s="194"/>
      <c r="Q76" s="59"/>
      <c r="R76" s="55"/>
    </row>
    <row r="77" spans="8:9" ht="20.25" thickTop="1">
      <c r="H77" s="193"/>
      <c r="I77" s="193"/>
    </row>
  </sheetData>
  <sheetProtection/>
  <mergeCells count="136">
    <mergeCell ref="G4:N4"/>
    <mergeCell ref="G5:N5"/>
    <mergeCell ref="C6:F6"/>
    <mergeCell ref="G7:L7"/>
    <mergeCell ref="M7:N7"/>
    <mergeCell ref="H75:I75"/>
    <mergeCell ref="H76:I76"/>
    <mergeCell ref="B76:D76"/>
    <mergeCell ref="E69:F69"/>
    <mergeCell ref="H69:I69"/>
    <mergeCell ref="B74:D74"/>
    <mergeCell ref="B75:D75"/>
    <mergeCell ref="E74:F74"/>
    <mergeCell ref="E75:F75"/>
    <mergeCell ref="E76:F76"/>
    <mergeCell ref="B66:C66"/>
    <mergeCell ref="B68:R68"/>
    <mergeCell ref="B58:C58"/>
    <mergeCell ref="B59:C59"/>
    <mergeCell ref="B60:C60"/>
    <mergeCell ref="D60:P60"/>
    <mergeCell ref="O76:P76"/>
    <mergeCell ref="O69:P69"/>
    <mergeCell ref="M69:N69"/>
    <mergeCell ref="H77:I77"/>
    <mergeCell ref="O70:P70"/>
    <mergeCell ref="O71:P71"/>
    <mergeCell ref="O72:P72"/>
    <mergeCell ref="O73:P73"/>
    <mergeCell ref="O74:P74"/>
    <mergeCell ref="O75:P75"/>
    <mergeCell ref="M70:N70"/>
    <mergeCell ref="M71:N71"/>
    <mergeCell ref="M72:N72"/>
    <mergeCell ref="M73:N73"/>
    <mergeCell ref="M74:N74"/>
    <mergeCell ref="M75:N75"/>
    <mergeCell ref="M76:N76"/>
    <mergeCell ref="H74:I74"/>
    <mergeCell ref="H70:I70"/>
    <mergeCell ref="H71:I71"/>
    <mergeCell ref="H72:I72"/>
    <mergeCell ref="H73:I73"/>
    <mergeCell ref="E70:F70"/>
    <mergeCell ref="E71:F71"/>
    <mergeCell ref="E72:F72"/>
    <mergeCell ref="E73:F73"/>
    <mergeCell ref="B69:D69"/>
    <mergeCell ref="B70:D70"/>
    <mergeCell ref="B71:D71"/>
    <mergeCell ref="B72:D72"/>
    <mergeCell ref="B73:D73"/>
    <mergeCell ref="B62:Q62"/>
    <mergeCell ref="R62:R66"/>
    <mergeCell ref="B63:C63"/>
    <mergeCell ref="B64:C64"/>
    <mergeCell ref="B65:C65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Q15:Q16"/>
    <mergeCell ref="B17:C17"/>
    <mergeCell ref="B18:C18"/>
    <mergeCell ref="B19:C19"/>
    <mergeCell ref="B20:C20"/>
    <mergeCell ref="B21:C21"/>
    <mergeCell ref="B15:C16"/>
    <mergeCell ref="D15:D16"/>
    <mergeCell ref="E15:F15"/>
    <mergeCell ref="G15:K15"/>
    <mergeCell ref="L15:N15"/>
    <mergeCell ref="P15:P16"/>
    <mergeCell ref="J10:N12"/>
    <mergeCell ref="D11:E11"/>
    <mergeCell ref="F11:G11"/>
    <mergeCell ref="H11:I11"/>
    <mergeCell ref="D12:E12"/>
    <mergeCell ref="F12:G12"/>
    <mergeCell ref="H12:I12"/>
    <mergeCell ref="B22:C22"/>
    <mergeCell ref="B23:C23"/>
    <mergeCell ref="B67:R67"/>
    <mergeCell ref="G6:N6"/>
    <mergeCell ref="C7:F7"/>
    <mergeCell ref="C8:F8"/>
    <mergeCell ref="G8:N8"/>
    <mergeCell ref="C9:N9"/>
    <mergeCell ref="B1:R1"/>
    <mergeCell ref="B2:R2"/>
    <mergeCell ref="B3:R3"/>
    <mergeCell ref="C4:F4"/>
    <mergeCell ref="P4:Q4"/>
    <mergeCell ref="R4:R60"/>
    <mergeCell ref="C5:F5"/>
    <mergeCell ref="D13:E13"/>
    <mergeCell ref="F13:G13"/>
    <mergeCell ref="H13:I13"/>
    <mergeCell ref="J13:N14"/>
    <mergeCell ref="P13:Q14"/>
    <mergeCell ref="D14:E14"/>
    <mergeCell ref="F14:G14"/>
    <mergeCell ref="H14:I14"/>
    <mergeCell ref="D10:E10"/>
    <mergeCell ref="F10:G10"/>
    <mergeCell ref="H10:I10"/>
  </mergeCells>
  <hyperlinks>
    <hyperlink ref="B1:R1" r:id="rId1" display="THIS DUE DRAWN STATEMENT IS COMPILED BY  employeesforum1@gmail.com"/>
  </hyperlinks>
  <printOptions/>
  <pageMargins left="0.7" right="0.7" top="0.75" bottom="0.75" header="0.3" footer="0.3"/>
  <pageSetup horizontalDpi="600" verticalDpi="600" orientation="portrait" paperSize="9" scale="62" r:id="rId4"/>
  <ignoredErrors>
    <ignoredError sqref="E64:E65 G64:G65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N62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2.57421875" style="0" customWidth="1"/>
    <col min="4" max="4" width="9.421875" style="0" customWidth="1"/>
    <col min="5" max="5" width="9.28125" style="0" customWidth="1"/>
    <col min="6" max="6" width="7.140625" style="0" customWidth="1"/>
    <col min="7" max="12" width="7.57421875" style="0" customWidth="1"/>
  </cols>
  <sheetData>
    <row r="1" spans="2:13" ht="20.25" thickTop="1">
      <c r="B1" s="261" t="s">
        <v>217</v>
      </c>
      <c r="C1" s="262"/>
      <c r="D1" s="262"/>
      <c r="E1" s="262"/>
      <c r="F1" s="262"/>
      <c r="G1" s="262"/>
      <c r="H1" s="262"/>
      <c r="I1" s="262"/>
      <c r="J1" s="262"/>
      <c r="K1" s="262"/>
      <c r="L1" s="263"/>
      <c r="M1" s="1"/>
    </row>
    <row r="2" spans="2:13" ht="20.25" thickBot="1">
      <c r="B2" s="281" t="s">
        <v>33</v>
      </c>
      <c r="C2" s="282"/>
      <c r="D2" s="282"/>
      <c r="E2" s="282"/>
      <c r="F2" s="282"/>
      <c r="G2" s="282"/>
      <c r="H2" s="283"/>
      <c r="I2" s="283"/>
      <c r="J2" s="282"/>
      <c r="K2" s="282"/>
      <c r="L2" s="284"/>
      <c r="M2" s="1"/>
    </row>
    <row r="3" spans="2:13" ht="16.5" customHeight="1" thickTop="1">
      <c r="B3" s="268" t="s">
        <v>0</v>
      </c>
      <c r="C3" s="269"/>
      <c r="D3" s="270" t="str">
        <f>'DATA SHEET'!G4</f>
        <v>RAVI KANT</v>
      </c>
      <c r="E3" s="270"/>
      <c r="F3" s="270"/>
      <c r="G3" s="271"/>
      <c r="H3" s="292" t="s">
        <v>211</v>
      </c>
      <c r="I3" s="293"/>
      <c r="J3" s="78" t="s">
        <v>3</v>
      </c>
      <c r="K3" s="215" t="s">
        <v>212</v>
      </c>
      <c r="L3" s="291"/>
      <c r="M3" s="1"/>
    </row>
    <row r="4" spans="2:13" ht="16.5" customHeight="1">
      <c r="B4" s="268" t="s">
        <v>1</v>
      </c>
      <c r="C4" s="269"/>
      <c r="D4" s="272" t="str">
        <f>'DATA SHEET'!G5</f>
        <v>VO</v>
      </c>
      <c r="E4" s="272"/>
      <c r="F4" s="272"/>
      <c r="G4" s="273"/>
      <c r="H4" s="294"/>
      <c r="I4" s="295"/>
      <c r="J4" s="79" t="s">
        <v>4</v>
      </c>
      <c r="K4" s="264" t="s">
        <v>35</v>
      </c>
      <c r="L4" s="265"/>
      <c r="M4" s="1"/>
    </row>
    <row r="5" spans="2:14" ht="16.5" customHeight="1">
      <c r="B5" s="268" t="s">
        <v>2</v>
      </c>
      <c r="C5" s="269"/>
      <c r="D5" s="215" t="str">
        <f>'DATA SHEET'!G6</f>
        <v>CVH FATTA</v>
      </c>
      <c r="E5" s="216"/>
      <c r="F5" s="216"/>
      <c r="G5" s="216"/>
      <c r="H5" s="215"/>
      <c r="I5" s="216"/>
      <c r="J5" s="216"/>
      <c r="K5" s="216"/>
      <c r="L5" s="217"/>
      <c r="N5" s="113"/>
    </row>
    <row r="6" spans="2:13" ht="16.5" customHeight="1">
      <c r="B6" s="266" t="s">
        <v>30</v>
      </c>
      <c r="C6" s="267"/>
      <c r="D6" s="267"/>
      <c r="E6" s="3">
        <v>0.4</v>
      </c>
      <c r="F6" s="279" t="s">
        <v>47</v>
      </c>
      <c r="G6" s="279"/>
      <c r="H6" s="279"/>
      <c r="I6" s="279"/>
      <c r="J6" s="279"/>
      <c r="K6" s="279"/>
      <c r="L6" s="280"/>
      <c r="M6" s="1"/>
    </row>
    <row r="7" spans="2:13" ht="16.5" customHeight="1">
      <c r="B7" s="274" t="s">
        <v>48</v>
      </c>
      <c r="C7" s="275"/>
      <c r="D7" s="275"/>
      <c r="E7" s="275"/>
      <c r="F7" s="275"/>
      <c r="G7" s="275"/>
      <c r="H7" s="275"/>
      <c r="I7" s="275"/>
      <c r="J7" s="275"/>
      <c r="K7" s="275"/>
      <c r="L7" s="276"/>
      <c r="M7" s="1"/>
    </row>
    <row r="8" spans="2:13" ht="16.5" customHeight="1" thickBot="1">
      <c r="B8" s="277" t="s">
        <v>5</v>
      </c>
      <c r="C8" s="278"/>
      <c r="D8" s="278"/>
      <c r="E8" s="278"/>
      <c r="F8" s="17" t="s">
        <v>22</v>
      </c>
      <c r="G8" s="17" t="s">
        <v>23</v>
      </c>
      <c r="H8" s="17" t="s">
        <v>25</v>
      </c>
      <c r="I8" s="17" t="s">
        <v>24</v>
      </c>
      <c r="J8" s="17" t="s">
        <v>26</v>
      </c>
      <c r="K8" s="17" t="s">
        <v>27</v>
      </c>
      <c r="L8" s="18" t="s">
        <v>28</v>
      </c>
      <c r="M8" s="1"/>
    </row>
    <row r="9" spans="2:13" ht="16.5" customHeight="1" thickBot="1" thickTop="1">
      <c r="B9" s="255" t="s">
        <v>20</v>
      </c>
      <c r="C9" s="256"/>
      <c r="D9" s="256"/>
      <c r="E9" s="256"/>
      <c r="F9" s="256"/>
      <c r="G9" s="256"/>
      <c r="H9" s="256"/>
      <c r="I9" s="256"/>
      <c r="J9" s="256"/>
      <c r="K9" s="256"/>
      <c r="L9" s="257"/>
      <c r="M9" s="1"/>
    </row>
    <row r="10" spans="2:13" ht="18.75" customHeight="1" thickTop="1">
      <c r="B10" s="258" t="s">
        <v>6</v>
      </c>
      <c r="C10" s="259"/>
      <c r="D10" s="259"/>
      <c r="E10" s="259"/>
      <c r="F10" s="19">
        <v>787000</v>
      </c>
      <c r="G10" s="19">
        <v>707000</v>
      </c>
      <c r="H10" s="19">
        <v>560338</v>
      </c>
      <c r="I10" s="19">
        <v>424618</v>
      </c>
      <c r="J10" s="19">
        <v>381970</v>
      </c>
      <c r="K10" s="19">
        <v>340667</v>
      </c>
      <c r="L10" s="20">
        <v>290178</v>
      </c>
      <c r="M10" s="1"/>
    </row>
    <row r="11" spans="2:13" ht="16.5" customHeight="1">
      <c r="B11" s="233" t="s">
        <v>11</v>
      </c>
      <c r="C11" s="234"/>
      <c r="D11" s="234"/>
      <c r="E11" s="234"/>
      <c r="F11" s="4">
        <f>SUM(F12:F14)</f>
        <v>0</v>
      </c>
      <c r="G11" s="4">
        <f aca="true" t="shared" si="0" ref="G11:L11">SUM(G12:G14)</f>
        <v>0</v>
      </c>
      <c r="H11" s="4">
        <f t="shared" si="0"/>
        <v>2662</v>
      </c>
      <c r="I11" s="4">
        <f t="shared" si="0"/>
        <v>0</v>
      </c>
      <c r="J11" s="4">
        <f t="shared" si="0"/>
        <v>36705</v>
      </c>
      <c r="K11" s="4">
        <f t="shared" si="0"/>
        <v>65413</v>
      </c>
      <c r="L11" s="5">
        <f t="shared" si="0"/>
        <v>4127</v>
      </c>
      <c r="M11" s="1"/>
    </row>
    <row r="12" spans="2:13" ht="16.5" customHeight="1">
      <c r="B12" s="235"/>
      <c r="C12" s="231" t="s">
        <v>12</v>
      </c>
      <c r="D12" s="231"/>
      <c r="E12" s="231"/>
      <c r="F12" s="6">
        <f>'DATA SHEET'!G76</f>
        <v>0</v>
      </c>
      <c r="G12" s="6">
        <f>'DATA SHEET'!G75</f>
        <v>0</v>
      </c>
      <c r="H12" s="6">
        <v>2662</v>
      </c>
      <c r="I12" s="6">
        <f>'DATA SHEET'!G73</f>
        <v>0</v>
      </c>
      <c r="J12" s="8">
        <v>2215</v>
      </c>
      <c r="K12" s="6">
        <v>25433</v>
      </c>
      <c r="L12" s="7">
        <v>4127</v>
      </c>
      <c r="M12" s="1"/>
    </row>
    <row r="13" spans="2:13" ht="17.25" customHeight="1">
      <c r="B13" s="236"/>
      <c r="C13" s="260" t="s">
        <v>34</v>
      </c>
      <c r="D13" s="260"/>
      <c r="E13" s="260"/>
      <c r="F13" s="6">
        <f>'DATA SHEET'!J76</f>
        <v>0</v>
      </c>
      <c r="G13" s="6">
        <f>'DATA SHEET'!J75</f>
        <v>0</v>
      </c>
      <c r="H13" s="6">
        <f>'DATA SHEET'!J74</f>
        <v>0</v>
      </c>
      <c r="I13" s="6">
        <f>'DATA SHEET'!J73</f>
        <v>0</v>
      </c>
      <c r="J13" s="6">
        <v>34490</v>
      </c>
      <c r="K13" s="6">
        <v>32234</v>
      </c>
      <c r="L13" s="7">
        <f>'DATA SHEET'!J70</f>
        <v>0</v>
      </c>
      <c r="M13" s="1"/>
    </row>
    <row r="14" spans="2:13" ht="16.5" customHeight="1">
      <c r="B14" s="237"/>
      <c r="C14" s="232" t="s">
        <v>13</v>
      </c>
      <c r="D14" s="232"/>
      <c r="E14" s="232"/>
      <c r="F14" s="6">
        <f>'DATA SHEET'!K76</f>
        <v>0</v>
      </c>
      <c r="G14" s="6">
        <f>'DATA SHEET'!K75</f>
        <v>0</v>
      </c>
      <c r="H14" s="6">
        <f>'DATA SHEET'!K74</f>
        <v>0</v>
      </c>
      <c r="I14" s="6">
        <f>'DATA SHEET'!K73</f>
        <v>0</v>
      </c>
      <c r="J14" s="6">
        <f>'DATA SHEET'!K72</f>
        <v>0</v>
      </c>
      <c r="K14" s="6">
        <v>7746</v>
      </c>
      <c r="L14" s="7">
        <f>'DATA SHEET'!K70</f>
        <v>0</v>
      </c>
      <c r="M14" s="1"/>
    </row>
    <row r="15" spans="2:13" ht="16.5" customHeight="1">
      <c r="B15" s="233" t="s">
        <v>7</v>
      </c>
      <c r="C15" s="234"/>
      <c r="D15" s="234"/>
      <c r="E15" s="234"/>
      <c r="F15" s="56">
        <v>0</v>
      </c>
      <c r="G15" s="57">
        <v>0</v>
      </c>
      <c r="H15" s="6">
        <f>ROUND(('DATA SHEET'!H74*'CALCULATION SHEET'!E6),0)</f>
        <v>16292</v>
      </c>
      <c r="I15" s="6">
        <f>ROUND(('DATA SHEET'!H73*'CALCULATION SHEET'!E6),0)</f>
        <v>38130</v>
      </c>
      <c r="J15" s="6">
        <f>ROUND(('DATA SHEET'!H72*'CALCULATION SHEET'!E6),0)</f>
        <v>38321</v>
      </c>
      <c r="K15" s="6">
        <f>ROUND(('DATA SHEET'!H71*'CALCULATION SHEET'!E6),0)</f>
        <v>41823</v>
      </c>
      <c r="L15" s="7">
        <f>ROUND(('DATA SHEET'!H70*'CALCULATION SHEET'!E6),0)</f>
        <v>7394</v>
      </c>
      <c r="M15" s="1"/>
    </row>
    <row r="16" spans="2:13" ht="16.5" customHeight="1">
      <c r="B16" s="233" t="s">
        <v>8</v>
      </c>
      <c r="C16" s="234"/>
      <c r="D16" s="234"/>
      <c r="E16" s="234"/>
      <c r="F16" s="4">
        <f aca="true" t="shared" si="1" ref="F16:L16">SUM(F10:F11,F15)</f>
        <v>787000</v>
      </c>
      <c r="G16" s="4">
        <f t="shared" si="1"/>
        <v>707000</v>
      </c>
      <c r="H16" s="4">
        <f t="shared" si="1"/>
        <v>579292</v>
      </c>
      <c r="I16" s="4">
        <f t="shared" si="1"/>
        <v>462748</v>
      </c>
      <c r="J16" s="4">
        <f t="shared" si="1"/>
        <v>456996</v>
      </c>
      <c r="K16" s="4">
        <f t="shared" si="1"/>
        <v>447903</v>
      </c>
      <c r="L16" s="5">
        <f t="shared" si="1"/>
        <v>301699</v>
      </c>
      <c r="M16" s="1"/>
    </row>
    <row r="17" spans="2:13" ht="16.5" customHeight="1">
      <c r="B17" s="253" t="s">
        <v>40</v>
      </c>
      <c r="C17" s="254"/>
      <c r="D17" s="254"/>
      <c r="E17" s="254"/>
      <c r="F17" s="9">
        <f>SUM(F18:F21)</f>
        <v>125000</v>
      </c>
      <c r="G17" s="9">
        <f aca="true" t="shared" si="2" ref="G17:L17">SUM(G18:G21)</f>
        <v>120000</v>
      </c>
      <c r="H17" s="9">
        <f t="shared" si="2"/>
        <v>115000</v>
      </c>
      <c r="I17" s="9">
        <f t="shared" si="2"/>
        <v>100000</v>
      </c>
      <c r="J17" s="9">
        <f t="shared" si="2"/>
        <v>134490</v>
      </c>
      <c r="K17" s="9">
        <f t="shared" si="2"/>
        <v>132234</v>
      </c>
      <c r="L17" s="10">
        <f t="shared" si="2"/>
        <v>90210</v>
      </c>
      <c r="M17" s="1"/>
    </row>
    <row r="18" spans="2:13" ht="16.5" customHeight="1">
      <c r="B18" s="233" t="s">
        <v>14</v>
      </c>
      <c r="C18" s="234"/>
      <c r="D18" s="234"/>
      <c r="E18" s="234"/>
      <c r="F18" s="6">
        <f>'DATA SHEET'!L76</f>
        <v>0</v>
      </c>
      <c r="G18" s="6">
        <f>'DATA SHEET'!L75</f>
        <v>0</v>
      </c>
      <c r="H18" s="6">
        <f>'DATA SHEET'!L74</f>
        <v>0</v>
      </c>
      <c r="I18" s="6">
        <f>'DATA SHEET'!L73</f>
        <v>0</v>
      </c>
      <c r="J18" s="6">
        <f>'DATA SHEET'!L72</f>
        <v>0</v>
      </c>
      <c r="K18" s="6">
        <f>'DATA SHEET'!L71</f>
        <v>0</v>
      </c>
      <c r="L18" s="7">
        <f>'DATA SHEET'!L70</f>
        <v>0</v>
      </c>
      <c r="M18" s="1"/>
    </row>
    <row r="19" spans="2:13" ht="16.5" customHeight="1">
      <c r="B19" s="230" t="s">
        <v>9</v>
      </c>
      <c r="C19" s="231"/>
      <c r="D19" s="231"/>
      <c r="E19" s="231"/>
      <c r="F19" s="6">
        <v>25000</v>
      </c>
      <c r="G19" s="6">
        <v>20000</v>
      </c>
      <c r="H19" s="6">
        <v>15000</v>
      </c>
      <c r="I19" s="6">
        <f>'DATA SHEET'!M73</f>
        <v>0</v>
      </c>
      <c r="J19" s="6">
        <f>'DATA SHEET'!M72</f>
        <v>0</v>
      </c>
      <c r="K19" s="6">
        <f>'DATA SHEET'!M71</f>
        <v>0</v>
      </c>
      <c r="L19" s="7">
        <f>'DATA SHEET'!M70</f>
        <v>0</v>
      </c>
      <c r="M19" s="1"/>
    </row>
    <row r="20" spans="2:13" ht="16.5" customHeight="1">
      <c r="B20" s="230" t="s">
        <v>10</v>
      </c>
      <c r="C20" s="231"/>
      <c r="D20" s="231"/>
      <c r="E20" s="231"/>
      <c r="F20" s="6">
        <v>100000</v>
      </c>
      <c r="G20" s="6">
        <v>100000</v>
      </c>
      <c r="H20" s="6">
        <v>100000</v>
      </c>
      <c r="I20" s="6">
        <v>100000</v>
      </c>
      <c r="J20" s="6">
        <v>100000</v>
      </c>
      <c r="K20" s="6">
        <v>100000</v>
      </c>
      <c r="L20" s="7">
        <v>90210</v>
      </c>
      <c r="M20" s="1"/>
    </row>
    <row r="21" spans="2:13" ht="16.5" customHeight="1">
      <c r="B21" s="230" t="s">
        <v>15</v>
      </c>
      <c r="C21" s="231"/>
      <c r="D21" s="231"/>
      <c r="E21" s="231"/>
      <c r="F21" s="11">
        <f>F13</f>
        <v>0</v>
      </c>
      <c r="G21" s="11">
        <f aca="true" t="shared" si="3" ref="G21:L21">G13</f>
        <v>0</v>
      </c>
      <c r="H21" s="11">
        <f t="shared" si="3"/>
        <v>0</v>
      </c>
      <c r="I21" s="11">
        <f t="shared" si="3"/>
        <v>0</v>
      </c>
      <c r="J21" s="11">
        <f t="shared" si="3"/>
        <v>34490</v>
      </c>
      <c r="K21" s="11">
        <f t="shared" si="3"/>
        <v>32234</v>
      </c>
      <c r="L21" s="12">
        <f t="shared" si="3"/>
        <v>0</v>
      </c>
      <c r="M21" s="1"/>
    </row>
    <row r="22" spans="2:13" ht="16.5" customHeight="1">
      <c r="B22" s="230" t="s">
        <v>16</v>
      </c>
      <c r="C22" s="231"/>
      <c r="D22" s="231"/>
      <c r="E22" s="231"/>
      <c r="F22" s="4">
        <f>F16-F17</f>
        <v>662000</v>
      </c>
      <c r="G22" s="4">
        <f aca="true" t="shared" si="4" ref="G22:L22">G16-G17</f>
        <v>587000</v>
      </c>
      <c r="H22" s="4">
        <f t="shared" si="4"/>
        <v>464292</v>
      </c>
      <c r="I22" s="4">
        <f t="shared" si="4"/>
        <v>362748</v>
      </c>
      <c r="J22" s="4">
        <f t="shared" si="4"/>
        <v>322506</v>
      </c>
      <c r="K22" s="4">
        <f t="shared" si="4"/>
        <v>315669</v>
      </c>
      <c r="L22" s="5">
        <f t="shared" si="4"/>
        <v>211489</v>
      </c>
      <c r="M22" s="1"/>
    </row>
    <row r="23" spans="2:13" ht="16.5" customHeight="1">
      <c r="B23" s="230" t="s">
        <v>41</v>
      </c>
      <c r="C23" s="231"/>
      <c r="D23" s="231"/>
      <c r="E23" s="231"/>
      <c r="F23" s="4">
        <f>F22-F14</f>
        <v>662000</v>
      </c>
      <c r="G23" s="4">
        <f aca="true" t="shared" si="5" ref="G23:L23">G22-G14</f>
        <v>587000</v>
      </c>
      <c r="H23" s="4">
        <f t="shared" si="5"/>
        <v>464292</v>
      </c>
      <c r="I23" s="4">
        <f t="shared" si="5"/>
        <v>362748</v>
      </c>
      <c r="J23" s="4">
        <f t="shared" si="5"/>
        <v>322506</v>
      </c>
      <c r="K23" s="4">
        <f t="shared" si="5"/>
        <v>307923</v>
      </c>
      <c r="L23" s="5">
        <f t="shared" si="5"/>
        <v>211489</v>
      </c>
      <c r="M23" s="1"/>
    </row>
    <row r="24" spans="2:13" ht="16.5" customHeight="1">
      <c r="B24" s="230" t="s">
        <v>44</v>
      </c>
      <c r="C24" s="231"/>
      <c r="D24" s="231"/>
      <c r="E24" s="231"/>
      <c r="F24" s="4">
        <f>ROUND(SUM(F25:F28),0)</f>
        <v>66332</v>
      </c>
      <c r="G24" s="4">
        <f>ROUND(SUM(G25:G28),0)</f>
        <v>52942</v>
      </c>
      <c r="H24" s="4">
        <f>ROUND(SUM(H25:H28),0)</f>
        <v>48264</v>
      </c>
      <c r="I24" s="4">
        <f>ROUND(SUM(I25:I28),0)</f>
        <v>28376</v>
      </c>
      <c r="J24" s="4">
        <f>ROUND(SUM(J25:J28),0)</f>
        <v>47125</v>
      </c>
      <c r="K24" s="4">
        <f>ROUND(SUM(K25:K28),0)</f>
        <v>44015</v>
      </c>
      <c r="L24" s="5">
        <f>ROUND(SUM(L25:L28),0)</f>
        <v>17644</v>
      </c>
      <c r="M24" s="1"/>
    </row>
    <row r="25" spans="2:13" ht="16.5" customHeight="1">
      <c r="B25" s="245"/>
      <c r="C25" s="231" t="s">
        <v>17</v>
      </c>
      <c r="D25" s="231"/>
      <c r="E25" s="231"/>
      <c r="F25" s="4">
        <f>IF(K4=B54,F54,IF(K4=B55,F55,IF(K4=B56,F56,IF(K4=B57,F57))))</f>
        <v>64400</v>
      </c>
      <c r="G25" s="4">
        <f>IF(K4=B54,G54,IF(K4=B55,G55,IF(K4=B56,G56,IF(K4=B57,G57))))</f>
        <v>51400</v>
      </c>
      <c r="H25" s="4">
        <f>IF(K4=B54,H54,IF(K4=B55,H55,IF(K4=B56,H56,IF(K4=B57,H57))))</f>
        <v>46858.4</v>
      </c>
      <c r="I25" s="4">
        <f>IF(K4=B54,I54,IF(K4=B55,I55,IF(K4=B56,I56,IF(K4=B57,I57))))</f>
        <v>27549.6</v>
      </c>
      <c r="J25" s="4">
        <f>IF(K4=B54,J54,IF(K4=B55,J55,IF(K4=B56,J56,IF(K4=B57,J57))))</f>
        <v>45751.8</v>
      </c>
      <c r="K25" s="4">
        <f>IF(K4=B54,K54,IF(K4=B55,K55,IF(K4=B56,K56,IF(K4=B57,K57))))</f>
        <v>42376.899999999994</v>
      </c>
      <c r="L25" s="5">
        <f>IF(K4=B54,L54,IF(K4=B55,L55,IF(K4=B56,L56,IF(K4=B57,L57))))</f>
        <v>17297.800000000003</v>
      </c>
      <c r="M25" s="1"/>
    </row>
    <row r="26" spans="2:13" ht="16.5" customHeight="1">
      <c r="B26" s="246"/>
      <c r="C26" s="231" t="s">
        <v>21</v>
      </c>
      <c r="D26" s="231"/>
      <c r="E26" s="231"/>
      <c r="F26" s="6">
        <f>'DATA SHEET'!Q76</f>
        <v>0</v>
      </c>
      <c r="G26" s="6">
        <f>'DATA SHEET'!Q75</f>
        <v>0</v>
      </c>
      <c r="H26" s="6">
        <f>'DATA SHEET'!Q74</f>
        <v>0</v>
      </c>
      <c r="I26" s="6">
        <f>'DATA SHEET'!Q73</f>
        <v>0</v>
      </c>
      <c r="J26" s="6">
        <f>'DATA SHEET'!Q72</f>
        <v>0</v>
      </c>
      <c r="K26" s="6">
        <v>775</v>
      </c>
      <c r="L26" s="7">
        <f>'DATA SHEET'!Q70</f>
        <v>0</v>
      </c>
      <c r="M26" s="1"/>
    </row>
    <row r="27" spans="2:13" ht="16.5" customHeight="1">
      <c r="B27" s="246"/>
      <c r="C27" s="231" t="s">
        <v>19</v>
      </c>
      <c r="D27" s="231"/>
      <c r="E27" s="231"/>
      <c r="F27" s="4"/>
      <c r="G27" s="4"/>
      <c r="H27" s="4"/>
      <c r="I27" s="4">
        <f>IF((I22&gt;1000000),MIN(ROUND(((I22-1000000)*0.7),2),ROUND(((I25+I26)*0.1),2)),0)</f>
        <v>0</v>
      </c>
      <c r="J27" s="4">
        <f>IF((J22&gt;1000000),MIN(ROUND(((J22-1000000)*0.7),2),ROUND(((J25+J26)*0.1),2)),0)</f>
        <v>0</v>
      </c>
      <c r="K27" s="4">
        <f>IF((K22&gt;1000000),MIN(ROUND(((K22-1000000)*0.7),2),ROUND(((K25+K26)*0.1),2)),0)</f>
        <v>0</v>
      </c>
      <c r="L27" s="5">
        <f>IF((L22&gt;1000000),MIN(ROUND(((L22-1000000)*0.7),2),ROUND(((L25+L26)*0.1),2)),0)</f>
        <v>0</v>
      </c>
      <c r="M27" s="1"/>
    </row>
    <row r="28" spans="2:13" ht="16.5" customHeight="1">
      <c r="B28" s="247"/>
      <c r="C28" s="231" t="s">
        <v>18</v>
      </c>
      <c r="D28" s="231"/>
      <c r="E28" s="231"/>
      <c r="F28" s="4">
        <f>ROUND(SUM(F25:F27)*0.03,0)</f>
        <v>1932</v>
      </c>
      <c r="G28" s="4">
        <f>ROUND(SUM(G25:G27)*0.03,0)</f>
        <v>1542</v>
      </c>
      <c r="H28" s="4">
        <f>ROUND(SUM(H25:H27)*0.03,0)</f>
        <v>1406</v>
      </c>
      <c r="I28" s="4">
        <f>ROUND(SUM(I25:I27)*0.03,0)</f>
        <v>826</v>
      </c>
      <c r="J28" s="4">
        <f>ROUND(SUM(J25:J27)*0.03,0)</f>
        <v>1373</v>
      </c>
      <c r="K28" s="4">
        <f>ROUND(SUM(K25:K27)*0.02,0)</f>
        <v>863</v>
      </c>
      <c r="L28" s="5">
        <f>ROUND(SUM(L25:L27)*0.02,0)</f>
        <v>346</v>
      </c>
      <c r="M28" s="1"/>
    </row>
    <row r="29" spans="2:13" ht="16.5" customHeight="1">
      <c r="B29" s="220" t="s">
        <v>32</v>
      </c>
      <c r="C29" s="221"/>
      <c r="D29" s="221"/>
      <c r="E29" s="221"/>
      <c r="F29" s="221"/>
      <c r="G29" s="221"/>
      <c r="H29" s="221"/>
      <c r="I29" s="221"/>
      <c r="J29" s="221"/>
      <c r="K29" s="218">
        <f>SUM(F24:L24)</f>
        <v>304698</v>
      </c>
      <c r="L29" s="219"/>
      <c r="M29" s="1"/>
    </row>
    <row r="30" spans="2:13" ht="0" customHeight="1" hidden="1" thickBot="1"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9"/>
      <c r="M30" s="1"/>
    </row>
    <row r="31" spans="2:13" ht="16.5" customHeight="1" thickBot="1" thickTop="1">
      <c r="B31" s="224" t="s">
        <v>29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6"/>
      <c r="M31" s="1"/>
    </row>
    <row r="32" spans="2:13" ht="19.5" customHeight="1" thickTop="1">
      <c r="B32" s="285" t="s">
        <v>6</v>
      </c>
      <c r="C32" s="286"/>
      <c r="D32" s="286"/>
      <c r="E32" s="286"/>
      <c r="F32" s="21">
        <f>F10</f>
        <v>787000</v>
      </c>
      <c r="G32" s="21">
        <f aca="true" t="shared" si="6" ref="G32:L32">G10</f>
        <v>707000</v>
      </c>
      <c r="H32" s="21">
        <f t="shared" si="6"/>
        <v>560338</v>
      </c>
      <c r="I32" s="21">
        <f t="shared" si="6"/>
        <v>424618</v>
      </c>
      <c r="J32" s="21">
        <f t="shared" si="6"/>
        <v>381970</v>
      </c>
      <c r="K32" s="21">
        <f t="shared" si="6"/>
        <v>340667</v>
      </c>
      <c r="L32" s="22">
        <f t="shared" si="6"/>
        <v>290178</v>
      </c>
      <c r="M32" s="1"/>
    </row>
    <row r="33" spans="2:13" ht="16.5" customHeight="1">
      <c r="B33" s="251" t="s">
        <v>11</v>
      </c>
      <c r="C33" s="252"/>
      <c r="D33" s="252"/>
      <c r="E33" s="252"/>
      <c r="F33" s="4">
        <f>SUM(F34:F36)</f>
        <v>0</v>
      </c>
      <c r="G33" s="4">
        <f aca="true" t="shared" si="7" ref="G33:L33">SUM(G34:G36)</f>
        <v>0</v>
      </c>
      <c r="H33" s="4">
        <f t="shared" si="7"/>
        <v>2662</v>
      </c>
      <c r="I33" s="4">
        <f t="shared" si="7"/>
        <v>0</v>
      </c>
      <c r="J33" s="4">
        <f t="shared" si="7"/>
        <v>36705</v>
      </c>
      <c r="K33" s="4">
        <f t="shared" si="7"/>
        <v>65413</v>
      </c>
      <c r="L33" s="5">
        <f t="shared" si="7"/>
        <v>4127</v>
      </c>
      <c r="M33" s="1"/>
    </row>
    <row r="34" spans="2:13" ht="16.5" customHeight="1">
      <c r="B34" s="245"/>
      <c r="C34" s="242" t="s">
        <v>12</v>
      </c>
      <c r="D34" s="243"/>
      <c r="E34" s="244"/>
      <c r="F34" s="4">
        <f>F12</f>
        <v>0</v>
      </c>
      <c r="G34" s="4">
        <f aca="true" t="shared" si="8" ref="G34:L34">G12</f>
        <v>0</v>
      </c>
      <c r="H34" s="4">
        <f t="shared" si="8"/>
        <v>2662</v>
      </c>
      <c r="I34" s="4">
        <f t="shared" si="8"/>
        <v>0</v>
      </c>
      <c r="J34" s="4">
        <f t="shared" si="8"/>
        <v>2215</v>
      </c>
      <c r="K34" s="4">
        <f t="shared" si="8"/>
        <v>25433</v>
      </c>
      <c r="L34" s="5">
        <f t="shared" si="8"/>
        <v>4127</v>
      </c>
      <c r="M34" s="1"/>
    </row>
    <row r="35" spans="2:13" ht="16.5" customHeight="1">
      <c r="B35" s="246"/>
      <c r="C35" s="289" t="s">
        <v>34</v>
      </c>
      <c r="D35" s="289"/>
      <c r="E35" s="289"/>
      <c r="F35" s="4">
        <f>F13</f>
        <v>0</v>
      </c>
      <c r="G35" s="4">
        <f aca="true" t="shared" si="9" ref="G35:L35">G13</f>
        <v>0</v>
      </c>
      <c r="H35" s="4">
        <f t="shared" si="9"/>
        <v>0</v>
      </c>
      <c r="I35" s="4">
        <f t="shared" si="9"/>
        <v>0</v>
      </c>
      <c r="J35" s="4">
        <f t="shared" si="9"/>
        <v>34490</v>
      </c>
      <c r="K35" s="4">
        <f t="shared" si="9"/>
        <v>32234</v>
      </c>
      <c r="L35" s="5">
        <f t="shared" si="9"/>
        <v>0</v>
      </c>
      <c r="M35" s="1"/>
    </row>
    <row r="36" spans="2:13" ht="16.5" customHeight="1">
      <c r="B36" s="247"/>
      <c r="C36" s="290" t="s">
        <v>13</v>
      </c>
      <c r="D36" s="290"/>
      <c r="E36" s="290"/>
      <c r="F36" s="4">
        <f>F14</f>
        <v>0</v>
      </c>
      <c r="G36" s="4">
        <f aca="true" t="shared" si="10" ref="G36:L36">G14</f>
        <v>0</v>
      </c>
      <c r="H36" s="4">
        <f t="shared" si="10"/>
        <v>0</v>
      </c>
      <c r="I36" s="4">
        <f t="shared" si="10"/>
        <v>0</v>
      </c>
      <c r="J36" s="4">
        <f t="shared" si="10"/>
        <v>0</v>
      </c>
      <c r="K36" s="4">
        <f t="shared" si="10"/>
        <v>7746</v>
      </c>
      <c r="L36" s="5">
        <f t="shared" si="10"/>
        <v>0</v>
      </c>
      <c r="M36" s="1"/>
    </row>
    <row r="37" spans="2:13" ht="16.5" customHeight="1">
      <c r="B37" s="251" t="s">
        <v>7</v>
      </c>
      <c r="C37" s="252"/>
      <c r="D37" s="252"/>
      <c r="E37" s="252"/>
      <c r="F37" s="4">
        <f>SUM(G15:L15)</f>
        <v>141960</v>
      </c>
      <c r="G37" s="23"/>
      <c r="H37" s="23"/>
      <c r="I37" s="23"/>
      <c r="J37" s="23"/>
      <c r="K37" s="23"/>
      <c r="L37" s="24"/>
      <c r="M37" s="1"/>
    </row>
    <row r="38" spans="2:13" ht="16.5" customHeight="1">
      <c r="B38" s="251" t="s">
        <v>8</v>
      </c>
      <c r="C38" s="252"/>
      <c r="D38" s="252"/>
      <c r="E38" s="252"/>
      <c r="F38" s="4">
        <f>SUM(F32:F33,F37)</f>
        <v>928960</v>
      </c>
      <c r="G38" s="4">
        <f aca="true" t="shared" si="11" ref="G38:L38">SUM(G32:G33,G37)</f>
        <v>707000</v>
      </c>
      <c r="H38" s="4">
        <f t="shared" si="11"/>
        <v>563000</v>
      </c>
      <c r="I38" s="4">
        <f t="shared" si="11"/>
        <v>424618</v>
      </c>
      <c r="J38" s="4">
        <f t="shared" si="11"/>
        <v>418675</v>
      </c>
      <c r="K38" s="4">
        <f t="shared" si="11"/>
        <v>406080</v>
      </c>
      <c r="L38" s="5">
        <f t="shared" si="11"/>
        <v>294305</v>
      </c>
      <c r="M38" s="1"/>
    </row>
    <row r="39" spans="2:13" ht="16.5" customHeight="1">
      <c r="B39" s="287" t="s">
        <v>43</v>
      </c>
      <c r="C39" s="288"/>
      <c r="D39" s="288"/>
      <c r="E39" s="288"/>
      <c r="F39" s="9">
        <f>SUM(F40:F43)</f>
        <v>125000</v>
      </c>
      <c r="G39" s="9">
        <f aca="true" t="shared" si="12" ref="G39:L39">SUM(G40:G43)</f>
        <v>120000</v>
      </c>
      <c r="H39" s="9">
        <f t="shared" si="12"/>
        <v>115000</v>
      </c>
      <c r="I39" s="9">
        <f t="shared" si="12"/>
        <v>100000</v>
      </c>
      <c r="J39" s="9">
        <f t="shared" si="12"/>
        <v>134490</v>
      </c>
      <c r="K39" s="9">
        <f t="shared" si="12"/>
        <v>132234</v>
      </c>
      <c r="L39" s="10">
        <f t="shared" si="12"/>
        <v>90210</v>
      </c>
      <c r="M39" s="1"/>
    </row>
    <row r="40" spans="2:13" ht="16.5" customHeight="1">
      <c r="B40" s="233" t="s">
        <v>14</v>
      </c>
      <c r="C40" s="234"/>
      <c r="D40" s="234"/>
      <c r="E40" s="234"/>
      <c r="F40" s="4">
        <f>F18</f>
        <v>0</v>
      </c>
      <c r="G40" s="4">
        <f aca="true" t="shared" si="13" ref="G40:L40">G18</f>
        <v>0</v>
      </c>
      <c r="H40" s="4">
        <f t="shared" si="13"/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5">
        <f t="shared" si="13"/>
        <v>0</v>
      </c>
      <c r="M40" s="1"/>
    </row>
    <row r="41" spans="2:13" ht="16.5" customHeight="1">
      <c r="B41" s="230" t="s">
        <v>9</v>
      </c>
      <c r="C41" s="231"/>
      <c r="D41" s="231"/>
      <c r="E41" s="231"/>
      <c r="F41" s="4">
        <f>F19</f>
        <v>25000</v>
      </c>
      <c r="G41" s="4">
        <f aca="true" t="shared" si="14" ref="G41:L41">G19</f>
        <v>20000</v>
      </c>
      <c r="H41" s="4">
        <f t="shared" si="14"/>
        <v>15000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5">
        <f t="shared" si="14"/>
        <v>0</v>
      </c>
      <c r="M41" s="1"/>
    </row>
    <row r="42" spans="2:13" ht="16.5" customHeight="1">
      <c r="B42" s="230" t="s">
        <v>10</v>
      </c>
      <c r="C42" s="231"/>
      <c r="D42" s="231"/>
      <c r="E42" s="231"/>
      <c r="F42" s="4">
        <f>F20</f>
        <v>100000</v>
      </c>
      <c r="G42" s="4">
        <f aca="true" t="shared" si="15" ref="G42:L42">G20</f>
        <v>100000</v>
      </c>
      <c r="H42" s="4">
        <f t="shared" si="15"/>
        <v>100000</v>
      </c>
      <c r="I42" s="4">
        <f t="shared" si="15"/>
        <v>100000</v>
      </c>
      <c r="J42" s="4">
        <f t="shared" si="15"/>
        <v>100000</v>
      </c>
      <c r="K42" s="4">
        <f t="shared" si="15"/>
        <v>100000</v>
      </c>
      <c r="L42" s="5">
        <f t="shared" si="15"/>
        <v>90210</v>
      </c>
      <c r="M42" s="1"/>
    </row>
    <row r="43" spans="2:13" ht="16.5" customHeight="1">
      <c r="B43" s="230" t="s">
        <v>15</v>
      </c>
      <c r="C43" s="231"/>
      <c r="D43" s="231"/>
      <c r="E43" s="231"/>
      <c r="F43" s="4">
        <f>F21</f>
        <v>0</v>
      </c>
      <c r="G43" s="4">
        <f aca="true" t="shared" si="16" ref="G43:L43">G21</f>
        <v>0</v>
      </c>
      <c r="H43" s="4">
        <f t="shared" si="16"/>
        <v>0</v>
      </c>
      <c r="I43" s="4">
        <f t="shared" si="16"/>
        <v>0</v>
      </c>
      <c r="J43" s="4">
        <f t="shared" si="16"/>
        <v>34490</v>
      </c>
      <c r="K43" s="4">
        <f t="shared" si="16"/>
        <v>32234</v>
      </c>
      <c r="L43" s="5">
        <f t="shared" si="16"/>
        <v>0</v>
      </c>
      <c r="M43" s="1"/>
    </row>
    <row r="44" spans="2:13" ht="16.5" customHeight="1">
      <c r="B44" s="230" t="s">
        <v>16</v>
      </c>
      <c r="C44" s="231"/>
      <c r="D44" s="231"/>
      <c r="E44" s="231"/>
      <c r="F44" s="4">
        <f>F38-F39</f>
        <v>803960</v>
      </c>
      <c r="G44" s="4">
        <f aca="true" t="shared" si="17" ref="G44:L44">G38-G39</f>
        <v>587000</v>
      </c>
      <c r="H44" s="4">
        <f t="shared" si="17"/>
        <v>448000</v>
      </c>
      <c r="I44" s="4">
        <f t="shared" si="17"/>
        <v>324618</v>
      </c>
      <c r="J44" s="4">
        <f t="shared" si="17"/>
        <v>284185</v>
      </c>
      <c r="K44" s="4">
        <f t="shared" si="17"/>
        <v>273846</v>
      </c>
      <c r="L44" s="5">
        <f t="shared" si="17"/>
        <v>204095</v>
      </c>
      <c r="M44" s="1"/>
    </row>
    <row r="45" spans="2:13" ht="16.5" customHeight="1">
      <c r="B45" s="230" t="s">
        <v>42</v>
      </c>
      <c r="C45" s="231"/>
      <c r="D45" s="231"/>
      <c r="E45" s="231"/>
      <c r="F45" s="4">
        <f>F44-F36</f>
        <v>803960</v>
      </c>
      <c r="G45" s="4">
        <f aca="true" t="shared" si="18" ref="G45:L45">G44-G36</f>
        <v>587000</v>
      </c>
      <c r="H45" s="4">
        <f t="shared" si="18"/>
        <v>448000</v>
      </c>
      <c r="I45" s="4">
        <f t="shared" si="18"/>
        <v>324618</v>
      </c>
      <c r="J45" s="4">
        <f t="shared" si="18"/>
        <v>284185</v>
      </c>
      <c r="K45" s="4">
        <f t="shared" si="18"/>
        <v>266100</v>
      </c>
      <c r="L45" s="5">
        <f t="shared" si="18"/>
        <v>204095</v>
      </c>
      <c r="M45" s="1"/>
    </row>
    <row r="46" spans="2:13" ht="16.5" customHeight="1">
      <c r="B46" s="230" t="s">
        <v>44</v>
      </c>
      <c r="C46" s="231"/>
      <c r="D46" s="231"/>
      <c r="E46" s="231"/>
      <c r="F46" s="4">
        <f>ROUND(SUM(F47:F50),0)</f>
        <v>98044</v>
      </c>
      <c r="G46" s="4">
        <f>ROUND(SUM(G47:G50),0)</f>
        <v>52942</v>
      </c>
      <c r="H46" s="4">
        <f>ROUND(SUM(H47:H50),0)</f>
        <v>44908</v>
      </c>
      <c r="I46" s="4">
        <f>ROUND(SUM(I47:I50),0)</f>
        <v>20522</v>
      </c>
      <c r="J46" s="4">
        <f>ROUND(SUM(J47:J50),0)</f>
        <v>35284</v>
      </c>
      <c r="K46" s="4">
        <f>ROUND(SUM(K47:K50),0)</f>
        <v>31217</v>
      </c>
      <c r="L46" s="5">
        <f>ROUND(SUM(L47:L50),0)</f>
        <v>16135</v>
      </c>
      <c r="M46" s="1"/>
    </row>
    <row r="47" spans="2:13" ht="16.5" customHeight="1">
      <c r="B47" s="248" t="s">
        <v>216</v>
      </c>
      <c r="C47" s="231" t="s">
        <v>17</v>
      </c>
      <c r="D47" s="231"/>
      <c r="E47" s="231"/>
      <c r="F47" s="4">
        <f>IF(K4=B54,F59,IF(K4=B55,F60,IF(K4=B56,F61,IF(K4=B77,F62))))</f>
        <v>95188</v>
      </c>
      <c r="G47" s="4">
        <f>IF(K4=B54,G59,IF(K4=B55,G60,IF(K4=B56,G61,IF(K4=B57,G62))))</f>
        <v>51400</v>
      </c>
      <c r="H47" s="4">
        <f>IF(K4=B54,H59,IF(K4=B55,H60,IF(K4=B56,H61,IF(K4=B57,H62))))</f>
        <v>43600</v>
      </c>
      <c r="I47" s="4">
        <f>IF(K4=B54,I59,IF(K4=B55,I60,IF(K4=B56,I61,IF(K4=B57,I62))))</f>
        <v>19923.6</v>
      </c>
      <c r="J47" s="4">
        <f>IF(K4=B54,J59,IF(K4=B55,J60,IF(K4=B56,J61,IF(K4=B57,J62))))</f>
        <v>34255.5</v>
      </c>
      <c r="K47" s="4">
        <f>IF(K4=B54,K59,IF(K4=B55,K59,IF(K4=B56,K59,IF(K4=B57,K59))))</f>
        <v>29830</v>
      </c>
      <c r="L47" s="5">
        <f>IF(K4=B54,L59,IF(K4=B55,L60,IF(K4=B56,L61,IF(K4=B57,L62))))</f>
        <v>15819</v>
      </c>
      <c r="M47" s="1"/>
    </row>
    <row r="48" spans="2:13" ht="16.5" customHeight="1">
      <c r="B48" s="249"/>
      <c r="C48" s="231" t="s">
        <v>21</v>
      </c>
      <c r="D48" s="231"/>
      <c r="E48" s="231"/>
      <c r="F48" s="4">
        <f>F26</f>
        <v>0</v>
      </c>
      <c r="G48" s="4">
        <f aca="true" t="shared" si="19" ref="G48:L48">G26</f>
        <v>0</v>
      </c>
      <c r="H48" s="4">
        <f t="shared" si="19"/>
        <v>0</v>
      </c>
      <c r="I48" s="4">
        <f t="shared" si="19"/>
        <v>0</v>
      </c>
      <c r="J48" s="4">
        <f t="shared" si="19"/>
        <v>0</v>
      </c>
      <c r="K48" s="4">
        <f t="shared" si="19"/>
        <v>775</v>
      </c>
      <c r="L48" s="5">
        <f t="shared" si="19"/>
        <v>0</v>
      </c>
      <c r="M48" s="1"/>
    </row>
    <row r="49" spans="2:13" ht="16.5" customHeight="1">
      <c r="B49" s="249"/>
      <c r="C49" s="231" t="s">
        <v>19</v>
      </c>
      <c r="D49" s="231"/>
      <c r="E49" s="231"/>
      <c r="F49" s="13">
        <v>0</v>
      </c>
      <c r="G49" s="13">
        <v>0</v>
      </c>
      <c r="H49" s="13">
        <v>0</v>
      </c>
      <c r="I49" s="14">
        <f>IF((I44&gt;1000000),MIN(ROUND(((I44-1000000)*0.7),2),ROUND(((I47+I48)*0.1),2)),0)</f>
        <v>0</v>
      </c>
      <c r="J49" s="14">
        <f>IF((J44&gt;1000000),MIN(ROUND(((J44-1000000)*0.7),2),ROUND(((J47+J48)*0.1),2)),0)</f>
        <v>0</v>
      </c>
      <c r="K49" s="14">
        <f>IF((K44&gt;1000000),MIN(ROUND(((K44-1000000)*0.7),2),ROUND(((K47+K48)*0.1),2)),0)</f>
        <v>0</v>
      </c>
      <c r="L49" s="15">
        <f>IF((L44&gt;1000000),MIN(ROUND(((L44-1000000)*0.7),2),ROUND(((L47+L48)*0.1),2)),0)</f>
        <v>0</v>
      </c>
      <c r="M49" s="1"/>
    </row>
    <row r="50" spans="2:13" ht="16.5" customHeight="1">
      <c r="B50" s="250"/>
      <c r="C50" s="231" t="s">
        <v>18</v>
      </c>
      <c r="D50" s="231"/>
      <c r="E50" s="231"/>
      <c r="F50" s="14">
        <f>ROUND(SUM(F47:F49)*0.03,0)</f>
        <v>2856</v>
      </c>
      <c r="G50" s="14">
        <f>ROUND(SUM(G47:G49)*0.03,0)</f>
        <v>1542</v>
      </c>
      <c r="H50" s="14">
        <f>ROUND(SUM(H47:H49)*0.03,0)</f>
        <v>1308</v>
      </c>
      <c r="I50" s="14">
        <f>ROUND(SUM(I47:I49)*0.03,0)</f>
        <v>598</v>
      </c>
      <c r="J50" s="14">
        <f>ROUND(SUM(J47:J49)*0.03,0)</f>
        <v>1028</v>
      </c>
      <c r="K50" s="14">
        <f>ROUND(SUM(K47:K49)*0.02,0)</f>
        <v>612</v>
      </c>
      <c r="L50" s="15">
        <f>ROUND(SUM(L47:L49)*0.02,0)</f>
        <v>316</v>
      </c>
      <c r="M50" s="1"/>
    </row>
    <row r="51" spans="2:13" ht="16.5" customHeight="1">
      <c r="B51" s="220" t="s">
        <v>31</v>
      </c>
      <c r="C51" s="221"/>
      <c r="D51" s="221"/>
      <c r="E51" s="221"/>
      <c r="F51" s="221"/>
      <c r="G51" s="221"/>
      <c r="H51" s="221"/>
      <c r="I51" s="221"/>
      <c r="J51" s="221"/>
      <c r="K51" s="222">
        <f>SUM(F46:L46)</f>
        <v>299052</v>
      </c>
      <c r="L51" s="223"/>
      <c r="M51" s="1"/>
    </row>
    <row r="52" spans="2:13" ht="19.5" customHeight="1" thickBot="1">
      <c r="B52" s="238" t="s">
        <v>45</v>
      </c>
      <c r="C52" s="239"/>
      <c r="D52" s="239"/>
      <c r="E52" s="239"/>
      <c r="F52" s="239"/>
      <c r="G52" s="239"/>
      <c r="H52" s="239"/>
      <c r="I52" s="16" t="s">
        <v>46</v>
      </c>
      <c r="J52" s="240" t="str">
        <f>IF(K51&gt;K29,K51-K29,"NO RELIEF AVAILABLE")</f>
        <v>NO RELIEF AVAILABLE</v>
      </c>
      <c r="K52" s="240"/>
      <c r="L52" s="241"/>
      <c r="M52" s="1"/>
    </row>
    <row r="53" spans="2:12" ht="3" customHeight="1" thickTop="1">
      <c r="B53" s="2"/>
      <c r="C53" s="2"/>
      <c r="D53" s="2" t="s">
        <v>39</v>
      </c>
      <c r="E53" s="2"/>
      <c r="F53" s="2"/>
      <c r="G53" s="2"/>
      <c r="H53" s="2"/>
      <c r="I53" s="2"/>
      <c r="J53" s="2"/>
      <c r="K53" s="2"/>
      <c r="L53" s="2"/>
    </row>
    <row r="54" spans="2:12" ht="3" customHeight="1">
      <c r="B54" s="2" t="s">
        <v>35</v>
      </c>
      <c r="C54" s="2"/>
      <c r="D54" s="2"/>
      <c r="E54" s="2" t="s">
        <v>39</v>
      </c>
      <c r="F54" s="2">
        <f>IF((F23&gt;800000),(94000+((F23-800000)*0.3)),IF((F23&gt;500000),(32000+((F23-500000)*0.2)),IF((F23&gt;180000),((F23-180000)*0.1),0)))</f>
        <v>64400</v>
      </c>
      <c r="G54" s="2">
        <f>IF((G23&gt;800000),(94000+((G23-800000)*0.3)),IF((G23&gt;500000),(34000+((G23-500000)*0.2)),IF((G23&gt;160000),((G23-160000)*0.1),0)))</f>
        <v>51400</v>
      </c>
      <c r="H54" s="2">
        <f>IF((H23&gt;500000),(54000+((H23-500000)*0.3)),IF((H23&gt;300000),(14000+((H23-300000)*0.2)),IF((H23&gt;160000),((H23-160000)*0.1),0)))</f>
        <v>46858.4</v>
      </c>
      <c r="I54" s="2">
        <f>IF((I23&gt;500000),(55000+((I23-500000)*0.3)),IF((I23&gt;300000),(15000+((I23-300000)*0.2)),IF((I23&gt;150000),((I23-150000)*0.1),0)))</f>
        <v>27549.6</v>
      </c>
      <c r="J54" s="2">
        <f>IF((J23&gt;250000),(24000+((J23-250000)*0.3)),IF((J23&gt;150000),(4000+((J23-150000)*0.2)),IF((J23&gt;110000),((J23-110000)*0.1),0)))</f>
        <v>45751.8</v>
      </c>
      <c r="K54" s="25">
        <f>IF((K23&gt;250000),(25000+((K23-250000)*0.3)),IF((K23&gt;150000),(5000+((K23-150000)*0.2)),IF((K23&gt;100000),((K23-100000)*0.1),0)))</f>
        <v>42376.899999999994</v>
      </c>
      <c r="L54" s="2">
        <f>IF((L23&gt;250000),(25000+((L23-250000)*0.3)),IF((L23&gt;150000),(5000+((L23-150000)*0.2)),IF((L23&gt;100000),((L23-100000)*0.1),0)))</f>
        <v>17297.800000000003</v>
      </c>
    </row>
    <row r="55" spans="2:12" ht="2.25" customHeight="1">
      <c r="B55" s="2" t="s">
        <v>36</v>
      </c>
      <c r="C55" s="2"/>
      <c r="D55" s="2"/>
      <c r="E55" s="2" t="s">
        <v>39</v>
      </c>
      <c r="F55" s="2">
        <f>IF((F23&gt;800000),(91000+((F23-800000)*0.3)),IF((F23&gt;500000),(31000+((F23-500000)*0.2)),IF((F23&gt;190000),((F23-190000)*0.1),0)))</f>
        <v>63400</v>
      </c>
      <c r="G55" s="2">
        <f>IF((G23&gt;800000),(91000+((G23-800000)*0.3)),IF((G23&gt;500000),(31000+((G23-500000)*0.2)),IF((G23&gt;190000),((G23-190000)*0.1),0)))</f>
        <v>48400</v>
      </c>
      <c r="H55" s="2">
        <f>IF((H23&gt;500000),(51000+((H23-500000)*0.3)),IF((H23&gt;300000),(11000+((H23-300000)*0.2)),IF((H23&gt;190000),((H23-190000)*0.1),0)))</f>
        <v>43858.4</v>
      </c>
      <c r="I55" s="2">
        <f>IF((I23&gt;500000),(52000+((I23-500000)*0.3)),IF((I23&gt;300000),(12000+((I23-300000)*0.2)),IF((I23&gt;180000),((I23-180000)*0.1),0)))</f>
        <v>24549.6</v>
      </c>
      <c r="J55" s="2">
        <f>IF((J23&gt;250000),(20500+((J23-250000)*0.3)),IF((J23&gt;150000),(500+((J23-150000)*0.2)),IF((J23&gt;145000),((J23-145000)*0.1),0)))</f>
        <v>42251.8</v>
      </c>
      <c r="K55" s="2">
        <f>IF((K23&gt;250000),(21500+((K23-250000)*0.3)),IF((K23&gt;150000),(1500+((K23-150000)*0.2)),IF((K23&gt;135000),((K23-135000)*0.1),0)))</f>
        <v>38876.899999999994</v>
      </c>
      <c r="L55" s="2">
        <f>IF((L23&gt;250000),(21500+((L23-250000)*0.3)),IF((L23&gt;150000),(1500+((L23-150000)*0.2)),IF((L23&gt;135000),((L23-135000)*0.1),0)))</f>
        <v>13797.800000000001</v>
      </c>
    </row>
    <row r="56" spans="2:12" ht="3" customHeight="1">
      <c r="B56" s="2" t="s">
        <v>37</v>
      </c>
      <c r="C56" s="2"/>
      <c r="D56" s="2"/>
      <c r="E56" s="2"/>
      <c r="F56" s="2">
        <f>IF((F23&gt;800000),(86000+((F23-800000)*0.3)),IF((F23&gt;500000),(25000+((F23-500000)*0.2)),IF((F23&gt;250000),((F23-250000)*0.1),0)))</f>
        <v>57400</v>
      </c>
      <c r="G56" s="2">
        <f>IF((G23&gt;800000),(86000+((G23-800000)*0.3)),IF((G23&gt;500000),(26000+((G23-500000)*0.2)),IF((G23&gt;240000),((G23-240000)*0.1),0)))</f>
        <v>43400</v>
      </c>
      <c r="H56" s="2">
        <f>IF((H23&gt;500000),(46000+((H23-500000)*0.3)),IF((H23&gt;300000),(6000+((H23-300000)*0.2)),IF((H23&gt;240000),((H23-240000)*0.1),0)))</f>
        <v>38858.4</v>
      </c>
      <c r="I56" s="2">
        <f>IF((I23&gt;500000),(47500+((I23-500000)*0.3)),IF((I23&gt;300000),(7500+((I23-300000)*0.2)),IF((I23&gt;225000),((I23-225000)*0.1),0)))</f>
        <v>20049.6</v>
      </c>
      <c r="J56" s="2">
        <f>IF((J23&gt;250000),(11000+((J23-250000)*0.3)),IF((J23&gt;195000),((J23-195000)*0.2),0))</f>
        <v>32751.8</v>
      </c>
      <c r="K56" s="2">
        <f>IF((K23&gt;250000),(13000+((K23-250000)*0.3)),IF((K23&gt;185000),((K23-185000)*0.2),0))</f>
        <v>30376.899999999998</v>
      </c>
      <c r="L56" s="2">
        <f>IF((L23&gt;250000),(13000+((L23-250000)*0.3)),IF((L23&gt;185000),((L23-185000)*0.2),0))</f>
        <v>5297.8</v>
      </c>
    </row>
    <row r="57" spans="2:12" ht="3" customHeight="1">
      <c r="B57" s="2" t="s">
        <v>38</v>
      </c>
      <c r="C57" s="2"/>
      <c r="D57" s="2"/>
      <c r="E57" s="2"/>
      <c r="F57" s="2">
        <f>IF((F23&gt;800000),(60000+((F23-800000)*0.3)),IF((F23&gt;500000),((F23-500000)*0.2),0))</f>
        <v>32400</v>
      </c>
      <c r="G57" s="2">
        <f>IF((G23&gt;800000),(86000+((G23-800000)*0.3)),IF((G23&gt;500000),(26000+((G23-500000)*0.2)),IF((G23&gt;240000),((G23-240000)*0.1),0)))</f>
        <v>43400</v>
      </c>
      <c r="H57" s="2">
        <f>IF((H23&gt;500000),(46000+((H23-500000)*0.3)),IF((H23&gt;300000),(6000+((H23-300000)*0.2)),IF((H23&gt;240000),((H23-240000)*0.1),0)))</f>
        <v>38858.4</v>
      </c>
      <c r="I57" s="2">
        <f>IF((I23&gt;500000),(47500+((I23-500000)*0.3)),IF((I23&gt;300000),(7500+((I23-300000)*0.2)),IF((I23&gt;225000),((I23-225000)*0.1),0)))</f>
        <v>20049.6</v>
      </c>
      <c r="J57" s="2">
        <f>IF((J23&gt;250000),(11000+((J23-250000)*0.3)),IF((J23&gt;195000),((J23-195000)*0.2),0))</f>
        <v>32751.8</v>
      </c>
      <c r="K57" s="2">
        <f>IF((K23&gt;250000),(13000+((K23-250000)*0.3)),IF((K23&gt;185000),((K23-185000)*0.2),0))</f>
        <v>30376.899999999998</v>
      </c>
      <c r="L57" s="2">
        <f>IF((L23&gt;250000),(13000+((L23-250000)*0.3)),IF((L23&gt;185000),((L23-185000)*0.2),0))</f>
        <v>5297.8</v>
      </c>
    </row>
    <row r="58" spans="2:12" ht="2.25" customHeight="1">
      <c r="B58" s="2"/>
      <c r="C58" s="2"/>
      <c r="D58" s="2" t="s">
        <v>39</v>
      </c>
      <c r="E58" s="2"/>
      <c r="F58" s="2"/>
      <c r="G58" s="2"/>
      <c r="H58" s="2"/>
      <c r="I58" s="2"/>
      <c r="J58" s="2"/>
      <c r="K58" s="2"/>
      <c r="L58" s="2"/>
    </row>
    <row r="59" spans="2:12" ht="3" customHeight="1">
      <c r="B59" s="2" t="s">
        <v>35</v>
      </c>
      <c r="C59" s="2"/>
      <c r="D59" s="2"/>
      <c r="E59" s="2"/>
      <c r="F59" s="2">
        <f>IF((F45&gt;800000),(94000+((F45-800000)*0.3)),IF((F45&gt;500000),(34000+((F45-500000)*0.2)),IF((F45&gt;160000),((F45-160000)*0.1),0)))</f>
        <v>95188</v>
      </c>
      <c r="G59" s="2">
        <f>IF((G45&gt;800000),(94000+((G45-800000)*0.3)),IF((G45&gt;500000),(34000+((G45-500000)*0.2)),IF((G45&gt;160000),((G45-160000)*0.1),0)))</f>
        <v>51400</v>
      </c>
      <c r="H59" s="2">
        <f>IF((H45&gt;500000),(54000+((H45-500000)*0.3)),IF((H45&gt;300000),(14000+((H45-300000)*0.2)),IF((H45&gt;160000),((H45-160000)*0.1),0)))</f>
        <v>43600</v>
      </c>
      <c r="I59" s="2">
        <f>IF((I45&gt;500000),(55000+((I45-500000)*0.3)),IF((I45&gt;300000),(15000+((I45-300000)*0.2)),IF((I45&gt;150000),((I45-150000)*0.1),0)))</f>
        <v>19923.6</v>
      </c>
      <c r="J59" s="2">
        <f>IF((J45&gt;250000),(24000+((J45-250000)*0.3)),IF((J45&gt;150000),(4000+((J45-150000)*0.2)),IF((J45&gt;110000),((J45-110000)*0.1),0)))</f>
        <v>34255.5</v>
      </c>
      <c r="K59" s="2">
        <f>IF((K45&gt;250000),(25000+((K45-250000)*0.3)),IF((K45&gt;150000),(5000+((K45-150000)*0.2)),IF((K45&gt;100000),((K45-100000)*0.1),0)))</f>
        <v>29830</v>
      </c>
      <c r="L59" s="2">
        <f>IF((L45&gt;250000),(25000+((L45-250000)*0.3)),IF((L45&gt;150000),(5000+((L45-150000)*0.2)),IF((L45&gt;100000),((L45-100000)*0.1),0)))</f>
        <v>15819</v>
      </c>
    </row>
    <row r="60" spans="2:12" ht="2.25" customHeight="1">
      <c r="B60" s="2" t="s">
        <v>36</v>
      </c>
      <c r="C60" s="2"/>
      <c r="D60" s="2"/>
      <c r="E60" s="2"/>
      <c r="F60" s="2">
        <f>IF((F45&gt;800000),(91000+((F45-800000)*0.3)),IF((F45&gt;500000),(31000+((F45-500000)*0.2)),IF((F45&gt;190000),((F45-190000)*0.1),0)))</f>
        <v>92188</v>
      </c>
      <c r="G60" s="2">
        <f>IF((G45&gt;800000),(91000+((G45-800000)*0.3)),IF((G45&gt;500000),(31000+((G45-500000)*0.2)),IF((G45&gt;190000),((G45-190000)*0.1),0)))</f>
        <v>48400</v>
      </c>
      <c r="H60" s="2">
        <f>IF((H45&gt;500000),(51000+((H45-500000)*0.3)),IF((H45&gt;300000),(11000+((H45-300000)*0.2)),IF((H45&gt;190000),((H45-190000)*0.1),0)))</f>
        <v>40600</v>
      </c>
      <c r="I60" s="2">
        <f>IF((I45&gt;500000),(52000+((I45-500000)*0.3)),IF((I45&gt;300000),(12000+((I45-300000)*0.2)),IF((I45&gt;180000),((I45-180000)*0.1),0)))</f>
        <v>16923.6</v>
      </c>
      <c r="J60" s="2">
        <f>IF((J45&gt;250000),(20500+((J45-250000)*0.3)),IF((J45&gt;150000),(500+((J45-150000)*0.2)),IF((J45&gt;145000),((J45-145000)*0.1),0)))</f>
        <v>30755.5</v>
      </c>
      <c r="K60" s="2">
        <f>IF((K45&gt;250000),(21500+((K45-250000)*0.3)),IF((K45&gt;150000),(1500+((K45-150000)*0.2)),IF((K45&gt;135000),((K45-135000)*0.1),0)))</f>
        <v>26330</v>
      </c>
      <c r="L60" s="2">
        <f>IF((L45&gt;250000),(21500+((L45-250000)*0.3)),IF((L45&gt;150000),(1500+((L45-150000)*0.2)),IF((L45&gt;135000),((L45-135000)*0.1),0)))</f>
        <v>12319</v>
      </c>
    </row>
    <row r="61" spans="2:12" ht="2.25" customHeight="1">
      <c r="B61" s="2" t="s">
        <v>37</v>
      </c>
      <c r="C61" s="2"/>
      <c r="D61" s="2"/>
      <c r="E61" s="2" t="s">
        <v>39</v>
      </c>
      <c r="F61" s="2">
        <f>IF((F45&gt;800000),(86000+((F45-800000)*0.3)),IF((F45&gt;500000),(26000+((F45-500000)*0.2)),IF((F45&gt;240000),((F45-240000)*0.1),0)))</f>
        <v>87188</v>
      </c>
      <c r="G61" s="2">
        <f>IF((G45&gt;800000),(86000+((G45-800000)*0.3)),IF((G45&gt;500000),(26000+((G45-500000)*0.2)),IF((G45&gt;240000),((G45-240000)*0.1),0)))</f>
        <v>43400</v>
      </c>
      <c r="H61" s="2">
        <f>IF((H45&gt;500000),(46000+((H45-500000)*0.3)),IF((H45&gt;300000),(6000+((H45-300000)*0.2)),IF((H45&gt;240000),((H45-240000)*0.1),0)))</f>
        <v>35600</v>
      </c>
      <c r="I61" s="2">
        <f>IF((I45&gt;500000),(47500+((I45-500000)*0.3)),IF((I45&gt;300000),(7500+((I45-300000)*0.2)),IF((I45&gt;225000),((I45-225000)*0.1),0)))</f>
        <v>12423.6</v>
      </c>
      <c r="J61" s="2">
        <f>IF((J45&gt;250000),(11000+((J45-250000)*0.3)),IF((J45&gt;195000),((J45-195000)*0.2),0))</f>
        <v>21255.5</v>
      </c>
      <c r="K61" s="2">
        <f>IF((K45&gt;250000),(13000+((K45-250000)*0.3)),IF((K45&gt;185000),((K45-185000)*0.2),0))</f>
        <v>17830</v>
      </c>
      <c r="L61" s="2">
        <f>IF((L45&gt;250000),(13000+((L45-250000)*0.3)),IF((L45&gt;185000),((L45-185000)*0.2),0))</f>
        <v>3819</v>
      </c>
    </row>
    <row r="62" spans="2:12" ht="2.25" customHeight="1">
      <c r="B62" s="2" t="s">
        <v>38</v>
      </c>
      <c r="C62" s="2"/>
      <c r="D62" s="2"/>
      <c r="E62" s="2"/>
      <c r="F62" s="2">
        <f>IF((F10&gt;800000),(60000+((F10-800000)*0.3)),IF((F10&gt;500000),((F10-500000)*0.2),0))</f>
        <v>57400</v>
      </c>
      <c r="G62" s="2">
        <f>IF((G45&gt;800000),(86000+((G45-800000)*0.3)),IF((G45&gt;500000),(26000+((G45-500000)*0.2)),IF((G45&gt;240000),((G45-240000)*0.1),0)))</f>
        <v>43400</v>
      </c>
      <c r="H62" s="2">
        <f>IF((H45&gt;500000),(46000+((H45-500000)*0.3)),IF((H45&gt;300000),(6000+((H45-300000)*0.2)),IF((H45&gt;240000),((H45-240000)*0.1),0)))</f>
        <v>35600</v>
      </c>
      <c r="I62" s="2">
        <f>IF((I45&gt;500000),(47500+((I45-500000)*0.3)),IF((I45&gt;300000),(7500+((I45-300000)*0.2)),IF((I45&gt;225000),((I45-225000)*0.1),0)))</f>
        <v>12423.6</v>
      </c>
      <c r="J62" s="2">
        <f>IF((J45&gt;250000),(11000+((J45-250000)*0.3)),IF((J45&gt;195000),((J45-195000)*0.2),0))</f>
        <v>21255.5</v>
      </c>
      <c r="K62" s="2">
        <f>IF((K45&gt;250000),(13000+((K45-250000)*0.3)),IF((K45&gt;185000),((K45-185000)*0.2),0))</f>
        <v>17830</v>
      </c>
      <c r="L62" s="2">
        <f>IF((L45&gt;250000),(13000+((L45-250000)*0.3)),IF((L45&gt;185000),((L45-185000)*0.2),0))</f>
        <v>3819</v>
      </c>
    </row>
    <row r="63" ht="15" customHeight="1"/>
  </sheetData>
  <sheetProtection/>
  <mergeCells count="67">
    <mergeCell ref="B2:L2"/>
    <mergeCell ref="B32:E32"/>
    <mergeCell ref="B23:E23"/>
    <mergeCell ref="B45:E45"/>
    <mergeCell ref="B39:E39"/>
    <mergeCell ref="B24:E24"/>
    <mergeCell ref="B29:J29"/>
    <mergeCell ref="B25:B28"/>
    <mergeCell ref="B33:E33"/>
    <mergeCell ref="C35:E35"/>
    <mergeCell ref="C36:E36"/>
    <mergeCell ref="B37:E37"/>
    <mergeCell ref="B42:E42"/>
    <mergeCell ref="B43:E43"/>
    <mergeCell ref="K3:L3"/>
    <mergeCell ref="H3:I4"/>
    <mergeCell ref="B1:L1"/>
    <mergeCell ref="C28:E28"/>
    <mergeCell ref="K4:L4"/>
    <mergeCell ref="B6:D6"/>
    <mergeCell ref="B3:C3"/>
    <mergeCell ref="B4:C4"/>
    <mergeCell ref="B5:C5"/>
    <mergeCell ref="D3:G3"/>
    <mergeCell ref="D4:G4"/>
    <mergeCell ref="B7:L7"/>
    <mergeCell ref="B8:E8"/>
    <mergeCell ref="C25:E25"/>
    <mergeCell ref="C26:E26"/>
    <mergeCell ref="C27:E27"/>
    <mergeCell ref="F6:L6"/>
    <mergeCell ref="B19:E19"/>
    <mergeCell ref="B17:E17"/>
    <mergeCell ref="B9:L9"/>
    <mergeCell ref="B10:E10"/>
    <mergeCell ref="B11:E11"/>
    <mergeCell ref="C13:E13"/>
    <mergeCell ref="B52:H52"/>
    <mergeCell ref="J52:L52"/>
    <mergeCell ref="C34:E34"/>
    <mergeCell ref="B34:B36"/>
    <mergeCell ref="B47:B50"/>
    <mergeCell ref="C49:E49"/>
    <mergeCell ref="C50:E50"/>
    <mergeCell ref="B44:E44"/>
    <mergeCell ref="B38:E38"/>
    <mergeCell ref="B40:E40"/>
    <mergeCell ref="B41:E41"/>
    <mergeCell ref="C47:E47"/>
    <mergeCell ref="C48:E48"/>
    <mergeCell ref="B46:E46"/>
    <mergeCell ref="D5:G5"/>
    <mergeCell ref="H5:L5"/>
    <mergeCell ref="K29:L29"/>
    <mergeCell ref="B51:J51"/>
    <mergeCell ref="K51:L51"/>
    <mergeCell ref="B31:L31"/>
    <mergeCell ref="B30:L30"/>
    <mergeCell ref="B22:E22"/>
    <mergeCell ref="C14:E14"/>
    <mergeCell ref="B15:E15"/>
    <mergeCell ref="B16:E16"/>
    <mergeCell ref="B18:E18"/>
    <mergeCell ref="B12:B14"/>
    <mergeCell ref="C12:E12"/>
    <mergeCell ref="B20:E20"/>
    <mergeCell ref="B21:E21"/>
  </mergeCells>
  <dataValidations count="1">
    <dataValidation type="list" allowBlank="1" showInputMessage="1" showErrorMessage="1" sqref="K4:L4">
      <formula1>$B$54:$B$57</formula1>
    </dataValidation>
  </dataValidations>
  <hyperlinks>
    <hyperlink ref="B1:L1" r:id="rId1" display="CALCULATOR FOR RELIEF U/S 89(1) FOR FY 2011-12 DESIGNED  BY employeesforum1@gmail.com"/>
    <hyperlink ref="B2" r:id="rId2" display="FOR CORRESPONDANCE MAIL TO employeesforum1@gmail.com"/>
    <hyperlink ref="B47:B50" r:id="rId3" display="http://www.employeeforum.yolasite.com/"/>
  </hyperlinks>
  <printOptions/>
  <pageMargins left="0.7" right="0.7" top="0.75" bottom="0.75" header="0.3" footer="0.3"/>
  <pageSetup horizontalDpi="600" verticalDpi="600" orientation="portrait" paperSize="9" scale="70" r:id="rId5"/>
  <ignoredErrors>
    <ignoredError sqref="F21:L21 F18:L18 F13:I13 H15:L15 F26:J26 F12:G12 I12 I19:L19 F14:J14 L14 L13 L26 E3:G3 E4:G4 D3 D5:G5 D4" unlockedFormula="1"/>
    <ignoredError sqref="F33:L33" formula="1"/>
    <ignoredError sqref="H11:L11" formulaRange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65"/>
  <sheetViews>
    <sheetView showGridLines="0" tabSelected="1" zoomScalePageLayoutView="0" workbookViewId="0" topLeftCell="A1">
      <selection activeCell="I4" sqref="I4"/>
    </sheetView>
  </sheetViews>
  <sheetFormatPr defaultColWidth="9.140625" defaultRowHeight="15"/>
  <cols>
    <col min="1" max="1" width="2.421875" style="0" customWidth="1"/>
    <col min="2" max="2" width="7.28125" style="0" customWidth="1"/>
    <col min="3" max="3" width="26.140625" style="0" customWidth="1"/>
    <col min="4" max="4" width="9.421875" style="0" customWidth="1"/>
    <col min="5" max="5" width="13.00390625" style="0" customWidth="1"/>
    <col min="6" max="6" width="10.7109375" style="0" customWidth="1"/>
    <col min="7" max="7" width="7.8515625" style="0" customWidth="1"/>
    <col min="8" max="8" width="13.7109375" style="0" customWidth="1"/>
  </cols>
  <sheetData>
    <row r="1" spans="2:8" ht="20.25" thickTop="1">
      <c r="B1" s="311" t="s">
        <v>168</v>
      </c>
      <c r="C1" s="312"/>
      <c r="D1" s="312"/>
      <c r="E1" s="312"/>
      <c r="F1" s="312"/>
      <c r="G1" s="312"/>
      <c r="H1" s="313"/>
    </row>
    <row r="2" spans="2:8" ht="20.25" customHeight="1">
      <c r="B2" s="314" t="s">
        <v>169</v>
      </c>
      <c r="C2" s="315"/>
      <c r="D2" s="315"/>
      <c r="E2" s="315"/>
      <c r="F2" s="315"/>
      <c r="G2" s="315"/>
      <c r="H2" s="316"/>
    </row>
    <row r="3" spans="2:8" ht="29.25" customHeight="1">
      <c r="B3" s="351" t="s">
        <v>170</v>
      </c>
      <c r="C3" s="352"/>
      <c r="D3" s="352"/>
      <c r="E3" s="352"/>
      <c r="F3" s="352"/>
      <c r="G3" s="352"/>
      <c r="H3" s="353"/>
    </row>
    <row r="4" spans="2:8" ht="19.5">
      <c r="B4" s="354">
        <v>1</v>
      </c>
      <c r="C4" s="318" t="s">
        <v>171</v>
      </c>
      <c r="D4" s="318" t="str">
        <f>'CALCULATION SHEET'!D3</f>
        <v>RAVI KANT</v>
      </c>
      <c r="E4" s="318"/>
      <c r="F4" s="318"/>
      <c r="G4" s="318"/>
      <c r="H4" s="319"/>
    </row>
    <row r="5" spans="2:8" ht="23.25" customHeight="1">
      <c r="B5" s="354"/>
      <c r="C5" s="318"/>
      <c r="D5" s="318" t="str">
        <f>'CALCULATION SHEET'!D5:L5</f>
        <v>CVH FATTA</v>
      </c>
      <c r="E5" s="318"/>
      <c r="F5" s="318"/>
      <c r="G5" s="318"/>
      <c r="H5" s="319"/>
    </row>
    <row r="6" spans="2:8" ht="19.5">
      <c r="B6" s="86">
        <v>2</v>
      </c>
      <c r="C6" s="85" t="s">
        <v>172</v>
      </c>
      <c r="D6" s="303"/>
      <c r="E6" s="317"/>
      <c r="F6" s="317"/>
      <c r="G6" s="317"/>
      <c r="H6" s="304"/>
    </row>
    <row r="7" spans="2:8" ht="19.5">
      <c r="B7" s="86">
        <v>3</v>
      </c>
      <c r="C7" s="76" t="s">
        <v>173</v>
      </c>
      <c r="D7" s="318" t="s">
        <v>174</v>
      </c>
      <c r="E7" s="318"/>
      <c r="F7" s="318"/>
      <c r="G7" s="318"/>
      <c r="H7" s="319"/>
    </row>
    <row r="8" spans="2:8" ht="28.5" customHeight="1">
      <c r="B8" s="112" t="s">
        <v>215</v>
      </c>
      <c r="C8" s="320" t="s">
        <v>175</v>
      </c>
      <c r="D8" s="320"/>
      <c r="E8" s="320"/>
      <c r="F8" s="320"/>
      <c r="G8" s="320"/>
      <c r="H8" s="321"/>
    </row>
    <row r="9" spans="2:8" ht="19.5" customHeight="1">
      <c r="B9" s="81" t="s">
        <v>176</v>
      </c>
      <c r="C9" s="296" t="s">
        <v>177</v>
      </c>
      <c r="D9" s="296"/>
      <c r="E9" s="296"/>
      <c r="F9" s="296"/>
      <c r="G9" s="296"/>
      <c r="H9" s="88">
        <f>'CALCULATION SHEET'!F37</f>
        <v>141960</v>
      </c>
    </row>
    <row r="10" spans="2:8" ht="27" customHeight="1">
      <c r="B10" s="89" t="s">
        <v>178</v>
      </c>
      <c r="C10" s="296" t="s">
        <v>179</v>
      </c>
      <c r="D10" s="296"/>
      <c r="E10" s="296"/>
      <c r="F10" s="296"/>
      <c r="G10" s="296"/>
      <c r="H10" s="389" t="s">
        <v>218</v>
      </c>
    </row>
    <row r="11" spans="2:8" ht="42" customHeight="1">
      <c r="B11" s="89" t="s">
        <v>180</v>
      </c>
      <c r="C11" s="296" t="s">
        <v>202</v>
      </c>
      <c r="D11" s="296"/>
      <c r="E11" s="296"/>
      <c r="F11" s="296"/>
      <c r="G11" s="296"/>
      <c r="H11" s="390" t="s">
        <v>218</v>
      </c>
    </row>
    <row r="12" spans="2:8" ht="19.5" customHeight="1">
      <c r="B12" s="89" t="s">
        <v>181</v>
      </c>
      <c r="C12" s="296" t="s">
        <v>182</v>
      </c>
      <c r="D12" s="296"/>
      <c r="E12" s="296"/>
      <c r="F12" s="296"/>
      <c r="G12" s="296"/>
      <c r="H12" s="389" t="s">
        <v>218</v>
      </c>
    </row>
    <row r="13" spans="2:8" ht="19.5" customHeight="1">
      <c r="B13" s="81">
        <v>2</v>
      </c>
      <c r="C13" s="328" t="s">
        <v>183</v>
      </c>
      <c r="D13" s="328"/>
      <c r="E13" s="328"/>
      <c r="F13" s="328"/>
      <c r="G13" s="328"/>
      <c r="H13" s="391" t="s">
        <v>219</v>
      </c>
    </row>
    <row r="14" spans="2:8" ht="19.5">
      <c r="B14" s="329"/>
      <c r="C14" s="330"/>
      <c r="D14" s="330"/>
      <c r="E14" s="330"/>
      <c r="F14" s="330"/>
      <c r="G14" s="331"/>
      <c r="H14" s="332"/>
    </row>
    <row r="15" spans="2:8" ht="19.5">
      <c r="B15" s="333" t="s">
        <v>203</v>
      </c>
      <c r="C15" s="334"/>
      <c r="D15" s="334"/>
      <c r="E15" s="334"/>
      <c r="F15" s="334"/>
      <c r="G15" s="331"/>
      <c r="H15" s="332"/>
    </row>
    <row r="16" spans="2:8" ht="20.25" thickBot="1">
      <c r="B16" s="335" t="s">
        <v>204</v>
      </c>
      <c r="C16" s="336"/>
      <c r="D16" s="336"/>
      <c r="E16" s="336"/>
      <c r="F16" s="336"/>
      <c r="G16" s="337"/>
      <c r="H16" s="338"/>
    </row>
    <row r="17" spans="2:8" ht="34.5" customHeight="1" thickTop="1">
      <c r="B17" s="93" t="s">
        <v>184</v>
      </c>
      <c r="C17" s="94" t="str">
        <f>D4</f>
        <v>RAVI KANT</v>
      </c>
      <c r="D17" s="339" t="s">
        <v>205</v>
      </c>
      <c r="E17" s="339"/>
      <c r="F17" s="339"/>
      <c r="G17" s="339"/>
      <c r="H17" s="340"/>
    </row>
    <row r="18" spans="2:8" ht="19.5" customHeight="1">
      <c r="B18" s="377" t="s">
        <v>185</v>
      </c>
      <c r="C18" s="378"/>
      <c r="D18" s="355" t="s">
        <v>186</v>
      </c>
      <c r="E18" s="355"/>
      <c r="F18" s="318"/>
      <c r="G18" s="318"/>
      <c r="H18" s="319"/>
    </row>
    <row r="19" spans="2:8" ht="19.5">
      <c r="B19" s="344"/>
      <c r="C19" s="345"/>
      <c r="D19" s="345"/>
      <c r="E19" s="345"/>
      <c r="F19" s="345"/>
      <c r="G19" s="345"/>
      <c r="H19" s="346"/>
    </row>
    <row r="20" spans="2:8" ht="19.5">
      <c r="B20" s="347"/>
      <c r="C20" s="331"/>
      <c r="D20" s="331"/>
      <c r="E20" s="331"/>
      <c r="F20" s="331"/>
      <c r="G20" s="331"/>
      <c r="H20" s="332"/>
    </row>
    <row r="21" spans="2:8" ht="19.5">
      <c r="B21" s="87" t="s">
        <v>206</v>
      </c>
      <c r="C21" s="76">
        <f>IF((+'[1]___IT calc'!B55=""),"",+'[1]___IT calc'!B55)</f>
      </c>
      <c r="D21" s="91"/>
      <c r="E21" s="331"/>
      <c r="F21" s="331"/>
      <c r="G21" s="343"/>
      <c r="H21" s="184"/>
    </row>
    <row r="22" spans="2:8" ht="19.5">
      <c r="B22" s="87" t="s">
        <v>207</v>
      </c>
      <c r="C22" s="92">
        <f>IF((+'[1]___Gr_ salary'!M40=""),"",+'[1]___Gr_ salary'!M40)</f>
      </c>
      <c r="D22" s="91"/>
      <c r="E22" s="341" t="s">
        <v>187</v>
      </c>
      <c r="F22" s="341"/>
      <c r="G22" s="341"/>
      <c r="H22" s="342"/>
    </row>
    <row r="23" spans="2:8" ht="20.25" thickBot="1">
      <c r="B23" s="348"/>
      <c r="C23" s="349"/>
      <c r="D23" s="349"/>
      <c r="E23" s="349"/>
      <c r="F23" s="349"/>
      <c r="G23" s="349"/>
      <c r="H23" s="350"/>
    </row>
    <row r="24" spans="2:8" ht="20.25" thickTop="1">
      <c r="B24" s="322" t="s">
        <v>188</v>
      </c>
      <c r="C24" s="323"/>
      <c r="D24" s="323"/>
      <c r="E24" s="323"/>
      <c r="F24" s="323"/>
      <c r="G24" s="323"/>
      <c r="H24" s="324"/>
    </row>
    <row r="25" spans="2:8" ht="19.5">
      <c r="B25" s="325" t="s">
        <v>189</v>
      </c>
      <c r="C25" s="326"/>
      <c r="D25" s="326"/>
      <c r="E25" s="326"/>
      <c r="F25" s="326"/>
      <c r="G25" s="326"/>
      <c r="H25" s="327"/>
    </row>
    <row r="26" spans="2:8" ht="19.5">
      <c r="B26" s="371" t="s">
        <v>190</v>
      </c>
      <c r="C26" s="372"/>
      <c r="D26" s="372"/>
      <c r="E26" s="372"/>
      <c r="F26" s="372"/>
      <c r="G26" s="372"/>
      <c r="H26" s="373"/>
    </row>
    <row r="27" spans="2:8" ht="19.5">
      <c r="B27" s="374"/>
      <c r="C27" s="375"/>
      <c r="D27" s="375"/>
      <c r="E27" s="375"/>
      <c r="F27" s="375"/>
      <c r="G27" s="375"/>
      <c r="H27" s="376"/>
    </row>
    <row r="28" spans="2:8" ht="19.5">
      <c r="B28" s="80" t="s">
        <v>191</v>
      </c>
      <c r="C28" s="315" t="s">
        <v>192</v>
      </c>
      <c r="D28" s="315"/>
      <c r="E28" s="315"/>
      <c r="F28" s="315"/>
      <c r="G28" s="315"/>
      <c r="H28" s="83" t="s">
        <v>193</v>
      </c>
    </row>
    <row r="29" spans="2:8" ht="19.5">
      <c r="B29" s="84">
        <v>1</v>
      </c>
      <c r="C29" s="296" t="s">
        <v>194</v>
      </c>
      <c r="D29" s="296"/>
      <c r="E29" s="296"/>
      <c r="F29" s="296"/>
      <c r="G29" s="296"/>
      <c r="H29" s="82">
        <f>'CALCULATION SHEET'!F16-'CALCULATION SHEET'!F15</f>
        <v>787000</v>
      </c>
    </row>
    <row r="30" spans="2:8" ht="19.5">
      <c r="B30" s="84">
        <v>2</v>
      </c>
      <c r="C30" s="296" t="s">
        <v>195</v>
      </c>
      <c r="D30" s="296"/>
      <c r="E30" s="296"/>
      <c r="F30" s="296"/>
      <c r="G30" s="296"/>
      <c r="H30" s="82">
        <f>'CALCULATION SHEET'!F37</f>
        <v>141960</v>
      </c>
    </row>
    <row r="31" spans="2:8" ht="19.5">
      <c r="B31" s="84">
        <v>3</v>
      </c>
      <c r="C31" s="296" t="s">
        <v>196</v>
      </c>
      <c r="D31" s="296"/>
      <c r="E31" s="296"/>
      <c r="F31" s="296"/>
      <c r="G31" s="296"/>
      <c r="H31" s="82">
        <f>SUM(H29:H30)</f>
        <v>928960</v>
      </c>
    </row>
    <row r="32" spans="2:8" ht="19.5">
      <c r="B32" s="84">
        <v>4</v>
      </c>
      <c r="C32" s="296" t="s">
        <v>197</v>
      </c>
      <c r="D32" s="296"/>
      <c r="E32" s="296"/>
      <c r="F32" s="296"/>
      <c r="G32" s="296"/>
      <c r="H32" s="82">
        <f>'CALCULATION SHEET'!F46</f>
        <v>98044</v>
      </c>
    </row>
    <row r="33" spans="2:8" ht="19.5">
      <c r="B33" s="84">
        <v>5</v>
      </c>
      <c r="C33" s="296" t="s">
        <v>198</v>
      </c>
      <c r="D33" s="296"/>
      <c r="E33" s="296"/>
      <c r="F33" s="296"/>
      <c r="G33" s="296"/>
      <c r="H33" s="82">
        <f>'CALCULATION SHEET'!F24</f>
        <v>66332</v>
      </c>
    </row>
    <row r="34" spans="2:8" ht="19.5">
      <c r="B34" s="84">
        <v>6</v>
      </c>
      <c r="C34" s="296" t="s">
        <v>199</v>
      </c>
      <c r="D34" s="296"/>
      <c r="E34" s="296"/>
      <c r="F34" s="296"/>
      <c r="G34" s="296"/>
      <c r="H34" s="82">
        <f>SUM((H32-H33))</f>
        <v>31712</v>
      </c>
    </row>
    <row r="35" spans="2:8" ht="19.5">
      <c r="B35" s="84">
        <v>7</v>
      </c>
      <c r="C35" s="296" t="s">
        <v>200</v>
      </c>
      <c r="D35" s="296"/>
      <c r="E35" s="296"/>
      <c r="F35" s="296"/>
      <c r="G35" s="296"/>
      <c r="H35" s="82">
        <f>H58</f>
        <v>5646</v>
      </c>
    </row>
    <row r="36" spans="2:8" ht="19.5">
      <c r="B36" s="84">
        <v>8</v>
      </c>
      <c r="C36" s="296" t="s">
        <v>201</v>
      </c>
      <c r="D36" s="296"/>
      <c r="E36" s="296"/>
      <c r="F36" s="296"/>
      <c r="G36" s="296"/>
      <c r="H36" s="82">
        <f>IF((SUM((H34-H35))&lt;1),"NO RELIEF",SUM((H34-H35)))</f>
        <v>26066</v>
      </c>
    </row>
    <row r="37" spans="2:8" ht="19.5">
      <c r="B37" s="365"/>
      <c r="C37" s="366"/>
      <c r="D37" s="366"/>
      <c r="E37" s="366"/>
      <c r="F37" s="366"/>
      <c r="G37" s="366"/>
      <c r="H37" s="367"/>
    </row>
    <row r="38" spans="2:8" ht="19.5">
      <c r="B38" s="368"/>
      <c r="C38" s="369"/>
      <c r="D38" s="369"/>
      <c r="E38" s="369"/>
      <c r="F38" s="369"/>
      <c r="G38" s="369"/>
      <c r="H38" s="370"/>
    </row>
    <row r="39" spans="2:8" ht="19.5">
      <c r="B39" s="368"/>
      <c r="C39" s="369"/>
      <c r="D39" s="369"/>
      <c r="E39" s="369"/>
      <c r="F39" s="369"/>
      <c r="G39" s="369"/>
      <c r="H39" s="370"/>
    </row>
    <row r="40" spans="2:8" ht="19.5">
      <c r="B40" s="104"/>
      <c r="C40" s="105"/>
      <c r="D40" s="105"/>
      <c r="E40" s="105"/>
      <c r="F40" s="106" t="s">
        <v>162</v>
      </c>
      <c r="G40" s="363"/>
      <c r="H40" s="364"/>
    </row>
    <row r="41" spans="2:8" ht="19.5">
      <c r="B41" s="104"/>
      <c r="C41" s="105"/>
      <c r="D41" s="105"/>
      <c r="E41" s="105"/>
      <c r="F41" s="106"/>
      <c r="G41" s="105"/>
      <c r="H41" s="107"/>
    </row>
    <row r="42" spans="2:8" ht="19.5">
      <c r="B42" s="104"/>
      <c r="C42" s="105"/>
      <c r="D42" s="105"/>
      <c r="E42" s="105"/>
      <c r="F42" s="108" t="s">
        <v>163</v>
      </c>
      <c r="G42" s="307" t="str">
        <f>'CALCULATION SHEET'!D3</f>
        <v>RAVI KANT</v>
      </c>
      <c r="H42" s="308"/>
    </row>
    <row r="43" spans="2:8" ht="19.5">
      <c r="B43" s="104"/>
      <c r="C43" s="105"/>
      <c r="D43" s="105"/>
      <c r="E43" s="105"/>
      <c r="F43" s="108" t="s">
        <v>208</v>
      </c>
      <c r="G43" s="309" t="s">
        <v>209</v>
      </c>
      <c r="H43" s="310"/>
    </row>
    <row r="44" spans="2:12" ht="19.5">
      <c r="B44" s="104"/>
      <c r="C44" s="105"/>
      <c r="D44" s="105"/>
      <c r="E44" s="105"/>
      <c r="F44" s="105"/>
      <c r="G44" s="105"/>
      <c r="H44" s="107"/>
      <c r="L44" t="s">
        <v>39</v>
      </c>
    </row>
    <row r="45" spans="2:8" ht="20.25" thickBot="1">
      <c r="B45" s="109"/>
      <c r="C45" s="110"/>
      <c r="D45" s="110"/>
      <c r="E45" s="110"/>
      <c r="F45" s="110"/>
      <c r="G45" s="110"/>
      <c r="H45" s="111"/>
    </row>
    <row r="46" spans="2:8" ht="19.5" customHeight="1" thickTop="1">
      <c r="B46" s="356" t="s">
        <v>146</v>
      </c>
      <c r="C46" s="357"/>
      <c r="D46" s="357"/>
      <c r="E46" s="357"/>
      <c r="F46" s="357"/>
      <c r="G46" s="357"/>
      <c r="H46" s="358"/>
    </row>
    <row r="47" spans="2:8" ht="19.5">
      <c r="B47" s="359" t="s">
        <v>147</v>
      </c>
      <c r="C47" s="307"/>
      <c r="D47" s="307"/>
      <c r="E47" s="307"/>
      <c r="F47" s="307"/>
      <c r="G47" s="307"/>
      <c r="H47" s="308"/>
    </row>
    <row r="48" spans="2:8" ht="19.5">
      <c r="B48" s="360"/>
      <c r="C48" s="361"/>
      <c r="D48" s="361"/>
      <c r="E48" s="361"/>
      <c r="F48" s="361"/>
      <c r="G48" s="361"/>
      <c r="H48" s="362"/>
    </row>
    <row r="49" spans="2:11" ht="151.5">
      <c r="B49" s="89" t="s">
        <v>148</v>
      </c>
      <c r="C49" s="77" t="s">
        <v>149</v>
      </c>
      <c r="D49" s="77" t="s">
        <v>150</v>
      </c>
      <c r="E49" s="77" t="s">
        <v>151</v>
      </c>
      <c r="F49" s="77" t="s">
        <v>152</v>
      </c>
      <c r="G49" s="77" t="s">
        <v>153</v>
      </c>
      <c r="H49" s="103" t="s">
        <v>154</v>
      </c>
      <c r="K49" s="75" t="s">
        <v>39</v>
      </c>
    </row>
    <row r="50" spans="2:8" ht="19.5" customHeight="1">
      <c r="B50" s="95" t="s">
        <v>155</v>
      </c>
      <c r="C50" s="96" t="s">
        <v>156</v>
      </c>
      <c r="D50" s="96" t="s">
        <v>157</v>
      </c>
      <c r="E50" s="96" t="s">
        <v>158</v>
      </c>
      <c r="F50" s="96" t="s">
        <v>159</v>
      </c>
      <c r="G50" s="96" t="s">
        <v>160</v>
      </c>
      <c r="H50" s="97" t="s">
        <v>161</v>
      </c>
    </row>
    <row r="51" spans="2:8" ht="19.5" customHeight="1">
      <c r="B51" s="84" t="s">
        <v>28</v>
      </c>
      <c r="C51" s="101">
        <f>'CALCULATION SHEET'!L16-'CALCULATION SHEET'!L15</f>
        <v>294305</v>
      </c>
      <c r="D51" s="85">
        <f>'CALCULATION SHEET'!L15</f>
        <v>7394</v>
      </c>
      <c r="E51" s="85">
        <f>IF((C51=""),"",SUM(C51:D51))</f>
        <v>301699</v>
      </c>
      <c r="F51" s="101">
        <f>'CALCULATION SHEET'!L46</f>
        <v>16135</v>
      </c>
      <c r="G51" s="102">
        <f>'CALCULATION SHEET'!L24</f>
        <v>17644</v>
      </c>
      <c r="H51" s="82">
        <f aca="true" t="shared" si="0" ref="H51:H57">G51-F51</f>
        <v>1509</v>
      </c>
    </row>
    <row r="52" spans="2:8" ht="19.5" customHeight="1">
      <c r="B52" s="84" t="s">
        <v>27</v>
      </c>
      <c r="C52" s="101">
        <f>'CALCULATION SHEET'!K16-'CALCULATION SHEET'!K15</f>
        <v>406080</v>
      </c>
      <c r="D52" s="85">
        <f>'CALCULATION SHEET'!K15</f>
        <v>41823</v>
      </c>
      <c r="E52" s="85">
        <f>IF((C52=""),"",SUM(C52:D52))</f>
        <v>447903</v>
      </c>
      <c r="F52" s="101">
        <f>'CALCULATION SHEET'!K46</f>
        <v>31217</v>
      </c>
      <c r="G52" s="102">
        <f>'CALCULATION SHEET'!K24</f>
        <v>44015</v>
      </c>
      <c r="H52" s="82">
        <f t="shared" si="0"/>
        <v>12798</v>
      </c>
    </row>
    <row r="53" spans="2:8" ht="19.5" customHeight="1">
      <c r="B53" s="84" t="s">
        <v>26</v>
      </c>
      <c r="C53" s="101">
        <f>'CALCULATION SHEET'!J16-'CALCULATION SHEET'!J15</f>
        <v>418675</v>
      </c>
      <c r="D53" s="85">
        <f>'CALCULATION SHEET'!J15</f>
        <v>38321</v>
      </c>
      <c r="E53" s="85">
        <f>IF((C53=""),"",SUM(C53:D53))</f>
        <v>456996</v>
      </c>
      <c r="F53" s="101">
        <f>'CALCULATION SHEET'!J46</f>
        <v>35284</v>
      </c>
      <c r="G53" s="102">
        <f>'CALCULATION SHEET'!J24</f>
        <v>47125</v>
      </c>
      <c r="H53" s="82">
        <f t="shared" si="0"/>
        <v>11841</v>
      </c>
    </row>
    <row r="54" spans="2:8" ht="19.5" customHeight="1">
      <c r="B54" s="84" t="s">
        <v>24</v>
      </c>
      <c r="C54" s="101">
        <f>'CALCULATION SHEET'!I16-'CALCULATION SHEET'!I15</f>
        <v>424618</v>
      </c>
      <c r="D54" s="85">
        <f>'CALCULATION SHEET'!I15</f>
        <v>38130</v>
      </c>
      <c r="E54" s="85">
        <f>IF((C54=""),"",SUM(C54:D54))</f>
        <v>462748</v>
      </c>
      <c r="F54" s="101">
        <f>'CALCULATION SHEET'!I46</f>
        <v>20522</v>
      </c>
      <c r="G54" s="102">
        <f>'CALCULATION SHEET'!I24</f>
        <v>28376</v>
      </c>
      <c r="H54" s="82">
        <f t="shared" si="0"/>
        <v>7854</v>
      </c>
    </row>
    <row r="55" spans="2:8" ht="19.5" customHeight="1">
      <c r="B55" s="84" t="s">
        <v>25</v>
      </c>
      <c r="C55" s="101">
        <f>'CALCULATION SHEET'!H16-'CALCULATION SHEET'!H15</f>
        <v>563000</v>
      </c>
      <c r="D55" s="85">
        <f>'CALCULATION SHEET'!H15</f>
        <v>16292</v>
      </c>
      <c r="E55" s="85">
        <f>IF((C55=""),"",SUM(C55:D55))</f>
        <v>579292</v>
      </c>
      <c r="F55" s="101">
        <f>'CALCULATION SHEET'!H46</f>
        <v>44908</v>
      </c>
      <c r="G55" s="102">
        <f>'CALCULATION SHEET'!H24</f>
        <v>48264</v>
      </c>
      <c r="H55" s="82">
        <f t="shared" si="0"/>
        <v>3356</v>
      </c>
    </row>
    <row r="56" spans="2:8" ht="19.5">
      <c r="B56" s="84" t="s">
        <v>23</v>
      </c>
      <c r="C56" s="101">
        <f>'CALCULATION SHEET'!G16-'CALCULATION SHEET'!G15</f>
        <v>707000</v>
      </c>
      <c r="D56" s="85">
        <f>'CALCULATION SHEET'!G15</f>
        <v>0</v>
      </c>
      <c r="E56" s="85">
        <f>IF((C56=""),"",SUM(C56:D56))</f>
        <v>707000</v>
      </c>
      <c r="F56" s="101">
        <f>'CALCULATION SHEET'!G46</f>
        <v>52942</v>
      </c>
      <c r="G56" s="102">
        <f>'CALCULATION SHEET'!G24</f>
        <v>52942</v>
      </c>
      <c r="H56" s="82">
        <f t="shared" si="0"/>
        <v>0</v>
      </c>
    </row>
    <row r="57" spans="2:8" ht="19.5">
      <c r="B57" s="84" t="s">
        <v>22</v>
      </c>
      <c r="C57" s="101">
        <f>'CALCULATION SHEET'!F16-'CALCULATION SHEET'!F15</f>
        <v>787000</v>
      </c>
      <c r="D57" s="85">
        <f>'CALCULATION SHEET'!F15</f>
        <v>0</v>
      </c>
      <c r="E57" s="85">
        <f>IF((C57=""),"",SUM(C57:D57))</f>
        <v>787000</v>
      </c>
      <c r="F57" s="101">
        <f>'CALCULATION SHEET'!F46</f>
        <v>98044</v>
      </c>
      <c r="G57" s="102">
        <f>'CALCULATION SHEET'!F24</f>
        <v>66332</v>
      </c>
      <c r="H57" s="82">
        <f t="shared" si="0"/>
        <v>-31712</v>
      </c>
    </row>
    <row r="58" spans="2:8" ht="19.5">
      <c r="B58" s="90" t="s">
        <v>86</v>
      </c>
      <c r="C58" s="101">
        <f aca="true" t="shared" si="1" ref="C58:H58">SUM(C51:C57)</f>
        <v>3600678</v>
      </c>
      <c r="D58" s="101">
        <f t="shared" si="1"/>
        <v>141960</v>
      </c>
      <c r="E58" s="101">
        <f t="shared" si="1"/>
        <v>3742638</v>
      </c>
      <c r="F58" s="101">
        <f t="shared" si="1"/>
        <v>299052</v>
      </c>
      <c r="G58" s="102">
        <f t="shared" si="1"/>
        <v>304698</v>
      </c>
      <c r="H58" s="82">
        <f t="shared" si="1"/>
        <v>5646</v>
      </c>
    </row>
    <row r="59" spans="2:8" ht="19.5" customHeight="1">
      <c r="B59" s="379"/>
      <c r="C59" s="380"/>
      <c r="D59" s="380"/>
      <c r="E59" s="380"/>
      <c r="F59" s="380"/>
      <c r="G59" s="380"/>
      <c r="H59" s="381"/>
    </row>
    <row r="60" spans="2:8" ht="19.5" customHeight="1">
      <c r="B60" s="382"/>
      <c r="C60" s="383"/>
      <c r="D60" s="383"/>
      <c r="E60" s="383"/>
      <c r="F60" s="98" t="s">
        <v>162</v>
      </c>
      <c r="G60" s="299"/>
      <c r="H60" s="300"/>
    </row>
    <row r="61" spans="2:8" ht="19.5">
      <c r="B61" s="382"/>
      <c r="C61" s="383"/>
      <c r="D61" s="383"/>
      <c r="E61" s="383"/>
      <c r="F61" s="99" t="s">
        <v>163</v>
      </c>
      <c r="G61" s="301" t="str">
        <f>D4</f>
        <v>RAVI KANT</v>
      </c>
      <c r="H61" s="302"/>
    </row>
    <row r="62" spans="2:8" ht="19.5">
      <c r="B62" s="382"/>
      <c r="C62" s="383"/>
      <c r="D62" s="383"/>
      <c r="E62" s="383"/>
      <c r="F62" s="99" t="s">
        <v>164</v>
      </c>
      <c r="G62" s="303"/>
      <c r="H62" s="304"/>
    </row>
    <row r="63" spans="2:8" ht="19.5">
      <c r="B63" s="100" t="s">
        <v>165</v>
      </c>
      <c r="C63" s="305"/>
      <c r="D63" s="306"/>
      <c r="E63" s="387"/>
      <c r="F63" s="388" t="s">
        <v>166</v>
      </c>
      <c r="G63" s="303"/>
      <c r="H63" s="304"/>
    </row>
    <row r="64" spans="2:8" ht="19.5">
      <c r="B64" s="100" t="s">
        <v>167</v>
      </c>
      <c r="C64" s="297"/>
      <c r="D64" s="298"/>
      <c r="E64" s="387"/>
      <c r="F64" s="388"/>
      <c r="G64" s="303"/>
      <c r="H64" s="304"/>
    </row>
    <row r="65" spans="2:8" ht="20.25" thickBot="1">
      <c r="B65" s="384" t="s">
        <v>216</v>
      </c>
      <c r="C65" s="385"/>
      <c r="D65" s="385"/>
      <c r="E65" s="385"/>
      <c r="F65" s="385"/>
      <c r="G65" s="385"/>
      <c r="H65" s="386"/>
    </row>
    <row r="66" ht="20.25" thickTop="1"/>
  </sheetData>
  <sheetProtection/>
  <mergeCells count="58">
    <mergeCell ref="B60:E62"/>
    <mergeCell ref="B65:H65"/>
    <mergeCell ref="E63:E64"/>
    <mergeCell ref="F63:F64"/>
    <mergeCell ref="G63:H64"/>
    <mergeCell ref="B26:H26"/>
    <mergeCell ref="B27:H27"/>
    <mergeCell ref="E21:F21"/>
    <mergeCell ref="B18:C18"/>
    <mergeCell ref="B59:H59"/>
    <mergeCell ref="G40:H40"/>
    <mergeCell ref="B37:H39"/>
    <mergeCell ref="C28:G28"/>
    <mergeCell ref="C29:G29"/>
    <mergeCell ref="C30:G30"/>
    <mergeCell ref="C31:G31"/>
    <mergeCell ref="C9:G9"/>
    <mergeCell ref="C10:G10"/>
    <mergeCell ref="B24:H24"/>
    <mergeCell ref="B25:H25"/>
    <mergeCell ref="C12:G12"/>
    <mergeCell ref="C13:G13"/>
    <mergeCell ref="B14:H14"/>
    <mergeCell ref="G15:H15"/>
    <mergeCell ref="B15:F15"/>
    <mergeCell ref="B16:H16"/>
    <mergeCell ref="D17:H17"/>
    <mergeCell ref="F18:H18"/>
    <mergeCell ref="E22:H22"/>
    <mergeCell ref="G21:H21"/>
    <mergeCell ref="B19:H20"/>
    <mergeCell ref="B23:H23"/>
    <mergeCell ref="B1:H1"/>
    <mergeCell ref="B2:H2"/>
    <mergeCell ref="D6:H6"/>
    <mergeCell ref="D7:H7"/>
    <mergeCell ref="C8:H8"/>
    <mergeCell ref="B3:H3"/>
    <mergeCell ref="B4:B5"/>
    <mergeCell ref="C4:C5"/>
    <mergeCell ref="D5:H5"/>
    <mergeCell ref="D4:H4"/>
    <mergeCell ref="C11:G11"/>
    <mergeCell ref="C64:D64"/>
    <mergeCell ref="G60:H60"/>
    <mergeCell ref="G61:H61"/>
    <mergeCell ref="G62:H62"/>
    <mergeCell ref="C63:D63"/>
    <mergeCell ref="G42:H42"/>
    <mergeCell ref="G43:H43"/>
    <mergeCell ref="C32:G32"/>
    <mergeCell ref="C33:G33"/>
    <mergeCell ref="C34:G34"/>
    <mergeCell ref="C35:G35"/>
    <mergeCell ref="D18:E18"/>
    <mergeCell ref="B46:H46"/>
    <mergeCell ref="B47:H48"/>
    <mergeCell ref="C36:G36"/>
  </mergeCells>
  <hyperlinks>
    <hyperlink ref="B8" r:id="rId1" display="mailto:employeesforum1@gmail.com"/>
    <hyperlink ref="B65:H65" r:id="rId2" display="http://www.employeeforum.yolasite.com/"/>
  </hyperlinks>
  <printOptions/>
  <pageMargins left="0.7" right="0.7" top="0.75" bottom="0.75" header="0.3" footer="0.3"/>
  <pageSetup horizontalDpi="600" verticalDpi="600" orientation="portrait" scale="76" r:id="rId4"/>
  <rowBreaks count="2" manualBreakCount="2">
    <brk id="23" max="7" man="1"/>
    <brk id="45" max="7" man="1"/>
  </rowBreaks>
  <ignoredErrors>
    <ignoredError sqref="B50:H5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SAKHU RIYA</dc:creator>
  <cp:keywords/>
  <dc:description/>
  <cp:lastModifiedBy>SAKHU RIYA</cp:lastModifiedBy>
  <cp:lastPrinted>2011-04-16T12:45:46Z</cp:lastPrinted>
  <dcterms:created xsi:type="dcterms:W3CDTF">2011-04-16T02:24:54Z</dcterms:created>
  <dcterms:modified xsi:type="dcterms:W3CDTF">2011-04-17T06:37:22Z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